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hix\eingang\mpicot\EEP\manufacturing energy\OutPHit\"/>
    </mc:Choice>
  </mc:AlternateContent>
  <bookViews>
    <workbookView xWindow="0" yWindow="0" windowWidth="28800" windowHeight="12435" firstSheet="1" activeTab="7"/>
  </bookViews>
  <sheets>
    <sheet name="U+Qt" sheetId="1" state="hidden" r:id="rId1"/>
    <sheet name="About" sheetId="9" r:id="rId2"/>
    <sheet name="Balance" sheetId="8" r:id="rId3"/>
    <sheet name="Opaque assemblies" sheetId="2" r:id="rId4"/>
    <sheet name="Transparent components" sheetId="7" r:id="rId5"/>
    <sheet name="Material editor" sheetId="4" r:id="rId6"/>
    <sheet name="Data" sheetId="3" r:id="rId7"/>
    <sheet name="Ökobaudat" sheetId="5" r:id="rId8"/>
  </sheets>
  <externalReferences>
    <externalReference r:id="rId9"/>
  </externalReferences>
  <definedNames>
    <definedName name="HTML_CodePage" hidden="1">1252</definedName>
    <definedName name="HTML_Control" hidden="1">{"'Verkehr-Personen'!$A$5:$J$26"}</definedName>
    <definedName name="HTML_Description" hidden="1">""</definedName>
    <definedName name="HTML_Email" hidden="1">""</definedName>
    <definedName name="HTML_Header" hidden="1">"Verkehr-Personen"</definedName>
    <definedName name="HTML_LastUpdate" hidden="1">"08-11-00"</definedName>
    <definedName name="HTML_LineAfter" hidden="1">FALSE</definedName>
    <definedName name="HTML_LineBefore" hidden="1">FALSE</definedName>
    <definedName name="HTML_Name" hidden="1">"Uwe R. Fritsche"</definedName>
    <definedName name="HTML_OBDlg2" hidden="1">TRUE</definedName>
    <definedName name="HTML_OBDlg4" hidden="1">TRUE</definedName>
    <definedName name="HTML_OS" hidden="1">0</definedName>
    <definedName name="HTML_PathFile" hidden="1">"D:\Archiv\G4-results Verkehr-P.htm"</definedName>
    <definedName name="HTML_Title" hidden="1">"G4-ergebnisse"</definedName>
    <definedName name="motorraf" hidden="1">{"'Verkehr-Personen'!$A$5:$J$26"}</definedName>
    <definedName name="PHPP_Daten_Angrenzend_an">[1]Data!$C$753:$C$756</definedName>
    <definedName name="PHPP_Daten_Ankreuzen">[1]Data!$A$718:$A$719</definedName>
    <definedName name="PHPP_Daten_Ausrichtung_Bauteil">[1]Data!$A$753:$A$756</definedName>
    <definedName name="PHPP_Komponenten_Liste_Verglasung">[1]Components!$MV$14:$MV$514</definedName>
    <definedName name="t" hidden="1">{"'Verkehr-Personen'!$A$5:$J$26"}</definedName>
    <definedName name="Verkehr2" hidden="1">{"'Verkehr-Personen'!$A$5:$J$26"}</definedName>
    <definedName name="VerkehrPkwKlassen" hidden="1">{"'Verkehr-Personen'!$A$5:$J$26"}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95" i="5" l="1"/>
  <c r="AO95" i="5"/>
  <c r="AR94" i="5"/>
  <c r="AO94" i="5"/>
  <c r="AR93" i="5"/>
  <c r="AO93" i="5"/>
  <c r="AR92" i="5"/>
  <c r="AO92" i="5"/>
  <c r="AR91" i="5"/>
  <c r="AO91" i="5"/>
  <c r="AR90" i="5"/>
  <c r="AO90" i="5"/>
  <c r="AR89" i="5"/>
  <c r="AO89" i="5"/>
  <c r="AR88" i="5"/>
  <c r="AO88" i="5"/>
  <c r="AR87" i="5"/>
  <c r="AO87" i="5"/>
  <c r="AR85" i="5" l="1"/>
  <c r="AO85" i="5"/>
  <c r="AD85" i="5"/>
  <c r="AR84" i="5"/>
  <c r="AO84" i="5"/>
  <c r="AD84" i="5"/>
  <c r="AR83" i="5"/>
  <c r="AO83" i="5"/>
  <c r="AD83" i="5"/>
  <c r="AR82" i="5"/>
  <c r="AO82" i="5"/>
  <c r="AD82" i="5"/>
  <c r="AR79" i="5" l="1"/>
  <c r="AO79" i="5"/>
  <c r="AR77" i="5"/>
  <c r="AO77" i="5"/>
  <c r="AR75" i="5"/>
  <c r="AO75" i="5"/>
  <c r="AR74" i="5"/>
  <c r="AO74" i="5"/>
  <c r="AR78" i="5"/>
  <c r="AO78" i="5"/>
  <c r="AR80" i="5"/>
  <c r="AO80" i="5"/>
  <c r="AR76" i="5"/>
  <c r="AO76" i="5"/>
  <c r="AJ29" i="5" l="1"/>
  <c r="AA5" i="8" l="1"/>
  <c r="AA6" i="8"/>
  <c r="AA7" i="8"/>
  <c r="AA8" i="8"/>
  <c r="AA9" i="8"/>
  <c r="AA10" i="8"/>
  <c r="AA11" i="8"/>
  <c r="AA12" i="8"/>
  <c r="AA13" i="8"/>
  <c r="AA14" i="8"/>
  <c r="AA15" i="8"/>
  <c r="AA16" i="8"/>
  <c r="AA4" i="8"/>
  <c r="A50" i="7"/>
  <c r="A51" i="7"/>
  <c r="A52" i="7"/>
  <c r="A53" i="7"/>
  <c r="A54" i="7"/>
  <c r="A55" i="7"/>
  <c r="A56" i="7"/>
  <c r="A57" i="7"/>
  <c r="A58" i="7"/>
  <c r="A59" i="7"/>
  <c r="A60" i="7"/>
  <c r="A61" i="7"/>
  <c r="A62" i="7"/>
  <c r="A63" i="7"/>
  <c r="A49" i="7"/>
  <c r="AC5" i="8" l="1"/>
  <c r="AC6" i="8"/>
  <c r="AC7" i="8"/>
  <c r="AC8" i="8"/>
  <c r="AC9" i="8"/>
  <c r="AC10" i="8"/>
  <c r="AC4" i="8"/>
  <c r="A18" i="7"/>
  <c r="A19" i="7"/>
  <c r="A20" i="7"/>
  <c r="A21" i="7"/>
  <c r="A22" i="7"/>
  <c r="A23" i="7"/>
  <c r="A17" i="7"/>
  <c r="H22" i="8" l="1"/>
  <c r="H10" i="8"/>
  <c r="I3" i="9" l="1"/>
  <c r="B36" i="4"/>
  <c r="Q42" i="4"/>
  <c r="S42" i="4" s="1"/>
  <c r="C42" i="4" s="1"/>
  <c r="D42" i="4" s="1"/>
  <c r="Q43" i="4"/>
  <c r="S43" i="4" s="1"/>
  <c r="Q44" i="4"/>
  <c r="S44" i="4" s="1"/>
  <c r="L42" i="4"/>
  <c r="G42" i="4" s="1"/>
  <c r="L43" i="4"/>
  <c r="L44" i="4"/>
  <c r="F44" i="4" s="1"/>
  <c r="L45" i="4"/>
  <c r="Q46" i="4"/>
  <c r="S46" i="4" s="1"/>
  <c r="L46" i="4"/>
  <c r="G46" i="4" s="1"/>
  <c r="Q47" i="4"/>
  <c r="S47" i="4" s="1"/>
  <c r="T47" i="4" s="1"/>
  <c r="L47" i="4"/>
  <c r="Q50" i="4"/>
  <c r="S50" i="4" s="1"/>
  <c r="T50" i="4" s="1"/>
  <c r="Q51" i="4"/>
  <c r="S51" i="4" s="1"/>
  <c r="Q55" i="4"/>
  <c r="S55" i="4" s="1"/>
  <c r="T55" i="4" s="1"/>
  <c r="Q56" i="4"/>
  <c r="S56" i="4" s="1"/>
  <c r="T56" i="4" s="1"/>
  <c r="Q57" i="4"/>
  <c r="S57" i="4" s="1"/>
  <c r="T57" i="4" s="1"/>
  <c r="N54" i="4"/>
  <c r="L55" i="4"/>
  <c r="F55" i="4" s="1"/>
  <c r="L56" i="4"/>
  <c r="L57" i="4"/>
  <c r="L58" i="4"/>
  <c r="F58" i="4" s="1"/>
  <c r="L59" i="4"/>
  <c r="Q60" i="4"/>
  <c r="S60" i="4" s="1"/>
  <c r="T60" i="4" s="1"/>
  <c r="L60" i="4"/>
  <c r="F60" i="4" s="1"/>
  <c r="B11" i="4"/>
  <c r="B12" i="4"/>
  <c r="B13" i="4"/>
  <c r="B14" i="4"/>
  <c r="B15" i="4"/>
  <c r="B16" i="4"/>
  <c r="B17" i="4"/>
  <c r="B18" i="4"/>
  <c r="B19" i="4"/>
  <c r="B20" i="4"/>
  <c r="B21" i="4"/>
  <c r="B22" i="4"/>
  <c r="B23" i="4"/>
  <c r="B24" i="4"/>
  <c r="B25" i="4"/>
  <c r="B26" i="4"/>
  <c r="B27" i="4"/>
  <c r="B28" i="4"/>
  <c r="B29" i="4"/>
  <c r="C29" i="4" s="1"/>
  <c r="B30" i="4"/>
  <c r="B31" i="4"/>
  <c r="B32" i="4"/>
  <c r="B33" i="4"/>
  <c r="B34" i="4"/>
  <c r="B35" i="4"/>
  <c r="B37" i="4"/>
  <c r="B38" i="4"/>
  <c r="B39" i="4"/>
  <c r="B40" i="4"/>
  <c r="B41" i="4"/>
  <c r="F8" i="4"/>
  <c r="H8" i="4"/>
  <c r="N62" i="4"/>
  <c r="Q96" i="4"/>
  <c r="S96" i="4" s="1"/>
  <c r="S95" i="4"/>
  <c r="S87" i="4"/>
  <c r="S84" i="4"/>
  <c r="S83" i="4"/>
  <c r="Q81" i="4"/>
  <c r="S81" i="4" s="1"/>
  <c r="T81" i="4" s="1"/>
  <c r="S80" i="4"/>
  <c r="S79" i="4"/>
  <c r="S78" i="4"/>
  <c r="C73" i="4"/>
  <c r="Q70" i="4"/>
  <c r="S70" i="4" s="1"/>
  <c r="T70" i="4" s="1"/>
  <c r="Q69" i="4"/>
  <c r="S69" i="4" s="1"/>
  <c r="Q68" i="4"/>
  <c r="S68" i="4" s="1"/>
  <c r="T68" i="4" s="1"/>
  <c r="Q67" i="4"/>
  <c r="S67" i="4" s="1"/>
  <c r="Q66" i="4"/>
  <c r="S66" i="4" s="1"/>
  <c r="T66" i="4" s="1"/>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AA50" i="5"/>
  <c r="Z29" i="5"/>
  <c r="BD29" i="5"/>
  <c r="BC29" i="5"/>
  <c r="BB29" i="5"/>
  <c r="BA29" i="5"/>
  <c r="AZ29" i="5"/>
  <c r="AY29" i="5"/>
  <c r="AX29" i="5"/>
  <c r="AW29" i="5"/>
  <c r="AV29" i="5"/>
  <c r="AU29" i="5"/>
  <c r="AT29" i="5"/>
  <c r="AS29" i="5"/>
  <c r="AR29" i="5"/>
  <c r="AQ29" i="5"/>
  <c r="AP29" i="5"/>
  <c r="AO29" i="5"/>
  <c r="AN29" i="5"/>
  <c r="AM29" i="5"/>
  <c r="AL29" i="5"/>
  <c r="AK29" i="5"/>
  <c r="AI29" i="5"/>
  <c r="AH29" i="5"/>
  <c r="AG29" i="5"/>
  <c r="AF29" i="5"/>
  <c r="A29" i="5"/>
  <c r="Z1" i="5"/>
  <c r="Q54" i="4" s="1"/>
  <c r="S54" i="4" s="1"/>
  <c r="E1" i="5"/>
  <c r="AM1" i="5"/>
  <c r="Y17" i="4" s="1"/>
  <c r="AP1" i="5"/>
  <c r="AA12" i="4" s="1"/>
  <c r="N11" i="4"/>
  <c r="U1" i="5"/>
  <c r="BX1" i="5"/>
  <c r="BW1" i="5"/>
  <c r="BV1" i="5"/>
  <c r="BU1" i="5"/>
  <c r="BT1" i="5"/>
  <c r="BS1" i="5"/>
  <c r="BR1" i="5"/>
  <c r="BQ1" i="5"/>
  <c r="BP1" i="5"/>
  <c r="BO1" i="5"/>
  <c r="BN1" i="5"/>
  <c r="BM1" i="5"/>
  <c r="BL1" i="5"/>
  <c r="BK1" i="5"/>
  <c r="BJ1" i="5"/>
  <c r="BI1" i="5"/>
  <c r="BH1" i="5"/>
  <c r="BG1" i="5"/>
  <c r="BF1" i="5"/>
  <c r="BE1" i="5"/>
  <c r="BD1" i="5"/>
  <c r="BC1" i="5"/>
  <c r="BB1" i="5"/>
  <c r="BA1" i="5"/>
  <c r="AZ1" i="5"/>
  <c r="AY1" i="5"/>
  <c r="AX1" i="5"/>
  <c r="AW1" i="5"/>
  <c r="AV1" i="5"/>
  <c r="AU1" i="5"/>
  <c r="AT1" i="5"/>
  <c r="AS1" i="5"/>
  <c r="AR1" i="5"/>
  <c r="AQ1" i="5"/>
  <c r="AB99" i="4" s="1"/>
  <c r="AO1" i="5"/>
  <c r="AN1" i="5"/>
  <c r="AL1" i="5"/>
  <c r="AK1" i="5"/>
  <c r="AJ1" i="5"/>
  <c r="AI1" i="5"/>
  <c r="AH1" i="5"/>
  <c r="AG1" i="5"/>
  <c r="AF1" i="5"/>
  <c r="AE1" i="5"/>
  <c r="AD1" i="5"/>
  <c r="AC1" i="5"/>
  <c r="AB1" i="5"/>
  <c r="AA1" i="5"/>
  <c r="Y1" i="5"/>
  <c r="X1" i="5"/>
  <c r="W1" i="5"/>
  <c r="V1" i="5"/>
  <c r="T1" i="5"/>
  <c r="S1" i="5"/>
  <c r="R1" i="5"/>
  <c r="Q1" i="5"/>
  <c r="P1" i="5"/>
  <c r="O1" i="5"/>
  <c r="N1" i="5"/>
  <c r="M1" i="5"/>
  <c r="L1" i="5"/>
  <c r="K1" i="5"/>
  <c r="J1" i="5"/>
  <c r="I1" i="5"/>
  <c r="H1" i="5"/>
  <c r="G1" i="5"/>
  <c r="F1" i="5"/>
  <c r="AE110" i="4"/>
  <c r="AD110" i="4"/>
  <c r="AC110" i="4"/>
  <c r="AB110" i="4"/>
  <c r="AE109" i="4"/>
  <c r="AD109" i="4"/>
  <c r="AC109" i="4"/>
  <c r="AB109" i="4"/>
  <c r="AE108" i="4"/>
  <c r="AD108" i="4"/>
  <c r="AC108" i="4"/>
  <c r="AB108" i="4"/>
  <c r="AE107" i="4"/>
  <c r="AD107" i="4"/>
  <c r="AC107" i="4"/>
  <c r="AB107" i="4"/>
  <c r="AE106" i="4"/>
  <c r="AD106" i="4"/>
  <c r="AC106" i="4"/>
  <c r="AB106" i="4"/>
  <c r="AE105" i="4"/>
  <c r="AD105" i="4"/>
  <c r="AC105" i="4"/>
  <c r="AB105" i="4"/>
  <c r="AE104" i="4"/>
  <c r="AD104" i="4"/>
  <c r="AC104" i="4"/>
  <c r="AB104" i="4"/>
  <c r="AE103" i="4"/>
  <c r="AD103" i="4"/>
  <c r="AC103" i="4"/>
  <c r="AB103" i="4"/>
  <c r="AE102" i="4"/>
  <c r="AD102" i="4"/>
  <c r="AC102" i="4"/>
  <c r="AB102" i="4"/>
  <c r="AE101" i="4"/>
  <c r="AE100" i="4"/>
  <c r="AD100" i="4"/>
  <c r="AC100" i="4"/>
  <c r="AB100" i="4"/>
  <c r="AE99" i="4"/>
  <c r="AE98" i="4"/>
  <c r="AE97" i="4"/>
  <c r="AE96" i="4"/>
  <c r="AD96" i="4"/>
  <c r="AC96" i="4"/>
  <c r="AB96" i="4"/>
  <c r="AE95" i="4"/>
  <c r="AE94" i="4"/>
  <c r="AE93" i="4"/>
  <c r="AE92" i="4"/>
  <c r="AE91" i="4"/>
  <c r="AE90" i="4"/>
  <c r="AE89" i="4"/>
  <c r="AE88" i="4"/>
  <c r="AE87" i="4"/>
  <c r="AE86" i="4"/>
  <c r="AE85" i="4"/>
  <c r="AE84" i="4"/>
  <c r="AE83" i="4"/>
  <c r="AE82" i="4"/>
  <c r="AE81" i="4"/>
  <c r="AD81" i="4"/>
  <c r="AC81" i="4"/>
  <c r="AB81" i="4"/>
  <c r="AE80" i="4"/>
  <c r="AE79" i="4"/>
  <c r="AE78" i="4"/>
  <c r="AE77" i="4"/>
  <c r="AE76" i="4"/>
  <c r="AE75" i="4"/>
  <c r="AE74" i="4"/>
  <c r="AE73" i="4"/>
  <c r="AE72" i="4"/>
  <c r="AD72" i="4"/>
  <c r="AC72" i="4"/>
  <c r="AB72" i="4"/>
  <c r="AE71" i="4"/>
  <c r="AD71" i="4"/>
  <c r="AC71" i="4"/>
  <c r="AB71" i="4"/>
  <c r="AE70" i="4"/>
  <c r="AD70" i="4"/>
  <c r="AC70" i="4"/>
  <c r="AB70" i="4"/>
  <c r="AE69" i="4"/>
  <c r="AD69" i="4"/>
  <c r="AC69" i="4"/>
  <c r="AB69" i="4"/>
  <c r="AE68" i="4"/>
  <c r="AD68" i="4"/>
  <c r="AC68" i="4"/>
  <c r="AB68" i="4"/>
  <c r="AE67" i="4"/>
  <c r="AD67" i="4"/>
  <c r="AC67" i="4"/>
  <c r="AB67" i="4"/>
  <c r="AE66" i="4"/>
  <c r="AD66" i="4"/>
  <c r="AC66" i="4"/>
  <c r="AB66" i="4"/>
  <c r="AE65" i="4"/>
  <c r="AE64" i="4"/>
  <c r="AE63" i="4"/>
  <c r="AE62" i="4"/>
  <c r="AE61" i="4"/>
  <c r="AD61" i="4"/>
  <c r="AC61" i="4"/>
  <c r="AB61" i="4"/>
  <c r="AE60" i="4"/>
  <c r="AD60" i="4"/>
  <c r="AC60" i="4"/>
  <c r="AB60" i="4"/>
  <c r="AE59" i="4"/>
  <c r="AD59" i="4"/>
  <c r="AC59" i="4"/>
  <c r="AB59" i="4"/>
  <c r="AE58" i="4"/>
  <c r="AD58" i="4"/>
  <c r="AC58" i="4"/>
  <c r="AB58" i="4"/>
  <c r="AE57" i="4"/>
  <c r="AD57" i="4"/>
  <c r="AC57" i="4"/>
  <c r="AB57" i="4"/>
  <c r="AE56" i="4"/>
  <c r="AD56" i="4"/>
  <c r="AC56" i="4"/>
  <c r="AB56" i="4"/>
  <c r="AE55" i="4"/>
  <c r="AD55" i="4"/>
  <c r="AC55" i="4"/>
  <c r="AB55" i="4"/>
  <c r="AE54" i="4"/>
  <c r="AE53" i="4"/>
  <c r="AD53" i="4"/>
  <c r="AC53" i="4"/>
  <c r="AB53" i="4"/>
  <c r="AE52" i="4"/>
  <c r="AD52" i="4"/>
  <c r="AC52" i="4"/>
  <c r="AB52" i="4"/>
  <c r="AE51" i="4"/>
  <c r="AD51" i="4"/>
  <c r="AC51" i="4"/>
  <c r="AB51" i="4"/>
  <c r="AE50" i="4"/>
  <c r="AD50" i="4"/>
  <c r="AC50" i="4"/>
  <c r="AB50" i="4"/>
  <c r="AE49" i="4"/>
  <c r="AD49" i="4"/>
  <c r="AC49" i="4"/>
  <c r="AB49" i="4"/>
  <c r="AE48" i="4"/>
  <c r="AD48" i="4"/>
  <c r="AC48" i="4"/>
  <c r="AB48" i="4"/>
  <c r="AE47" i="4"/>
  <c r="AD47" i="4"/>
  <c r="AC47" i="4"/>
  <c r="AB47" i="4"/>
  <c r="AE46" i="4"/>
  <c r="AD46" i="4"/>
  <c r="AC46" i="4"/>
  <c r="AB46" i="4"/>
  <c r="AE45" i="4"/>
  <c r="AD45" i="4"/>
  <c r="AC45" i="4"/>
  <c r="AB45" i="4"/>
  <c r="AE44" i="4"/>
  <c r="AD44" i="4"/>
  <c r="AC44" i="4"/>
  <c r="AB44" i="4"/>
  <c r="AE43" i="4"/>
  <c r="AD43" i="4"/>
  <c r="AC43" i="4"/>
  <c r="AB43" i="4"/>
  <c r="AE42" i="4"/>
  <c r="AD42" i="4"/>
  <c r="AC42" i="4"/>
  <c r="AB42" i="4"/>
  <c r="AE41" i="4"/>
  <c r="AD41" i="4"/>
  <c r="AC41" i="4"/>
  <c r="AB41" i="4"/>
  <c r="AE40" i="4"/>
  <c r="AD40" i="4"/>
  <c r="AC40" i="4"/>
  <c r="AB40" i="4"/>
  <c r="AE39" i="4"/>
  <c r="AD39" i="4"/>
  <c r="AE38" i="4"/>
  <c r="AB38" i="4"/>
  <c r="AE37" i="4"/>
  <c r="AC37" i="4"/>
  <c r="AE36" i="4"/>
  <c r="AC36" i="4"/>
  <c r="AE35" i="4"/>
  <c r="AD35" i="4"/>
  <c r="AC35" i="4"/>
  <c r="AB35" i="4"/>
  <c r="AE34" i="4"/>
  <c r="AC34" i="4"/>
  <c r="AE33" i="4"/>
  <c r="AC33" i="4"/>
  <c r="AB33" i="4"/>
  <c r="AE32" i="4"/>
  <c r="AC32" i="4"/>
  <c r="AE31" i="4"/>
  <c r="AD31" i="4"/>
  <c r="AC31" i="4"/>
  <c r="AB31" i="4"/>
  <c r="AE30" i="4"/>
  <c r="AC30" i="4"/>
  <c r="AE29" i="4"/>
  <c r="AC29" i="4"/>
  <c r="AE28" i="4"/>
  <c r="AC28" i="4"/>
  <c r="AB28" i="4"/>
  <c r="AE27" i="4"/>
  <c r="AC27" i="4"/>
  <c r="AE26" i="4"/>
  <c r="AC26" i="4"/>
  <c r="AE25" i="4"/>
  <c r="AC25" i="4"/>
  <c r="AE24" i="4"/>
  <c r="AC24" i="4"/>
  <c r="AB24" i="4"/>
  <c r="AE23" i="4"/>
  <c r="AC23" i="4"/>
  <c r="AE22" i="4"/>
  <c r="AC22" i="4"/>
  <c r="AE21" i="4"/>
  <c r="AC21" i="4"/>
  <c r="AE20" i="4"/>
  <c r="AC20" i="4"/>
  <c r="AB20" i="4"/>
  <c r="AE19" i="4"/>
  <c r="AC19" i="4"/>
  <c r="AE18" i="4"/>
  <c r="AD18" i="4"/>
  <c r="AC18" i="4"/>
  <c r="AB18" i="4"/>
  <c r="AE17" i="4"/>
  <c r="AC17" i="4"/>
  <c r="AE16" i="4"/>
  <c r="AC16" i="4"/>
  <c r="AE15" i="4"/>
  <c r="AC15" i="4"/>
  <c r="AB15" i="4"/>
  <c r="AE14" i="4"/>
  <c r="AC14" i="4"/>
  <c r="AE13" i="4"/>
  <c r="AD13" i="4"/>
  <c r="AC13" i="4"/>
  <c r="AE12" i="4"/>
  <c r="AD12" i="4"/>
  <c r="AC12" i="4"/>
  <c r="AE11" i="4"/>
  <c r="AD11" i="4"/>
  <c r="AC11" i="4"/>
  <c r="AA110" i="4"/>
  <c r="AA109" i="4"/>
  <c r="AA108" i="4"/>
  <c r="AA107" i="4"/>
  <c r="AA106" i="4"/>
  <c r="AA105" i="4"/>
  <c r="AA104" i="4"/>
  <c r="AA103" i="4"/>
  <c r="AA102" i="4"/>
  <c r="AA100" i="4"/>
  <c r="AA96" i="4"/>
  <c r="AA81" i="4"/>
  <c r="AA72" i="4"/>
  <c r="AA71" i="4"/>
  <c r="AA70" i="4"/>
  <c r="AA69" i="4"/>
  <c r="AA68" i="4"/>
  <c r="AA67" i="4"/>
  <c r="AA66" i="4"/>
  <c r="AA61" i="4"/>
  <c r="AA60" i="4"/>
  <c r="AA59" i="4"/>
  <c r="AA58" i="4"/>
  <c r="AA57" i="4"/>
  <c r="AA56" i="4"/>
  <c r="AA55" i="4"/>
  <c r="AA53" i="4"/>
  <c r="AA52" i="4"/>
  <c r="AA51" i="4"/>
  <c r="AA50" i="4"/>
  <c r="AA49" i="4"/>
  <c r="AA48" i="4"/>
  <c r="AA47" i="4"/>
  <c r="AA46" i="4"/>
  <c r="AA45" i="4"/>
  <c r="AA44" i="4"/>
  <c r="AA43" i="4"/>
  <c r="AA42" i="4"/>
  <c r="AA41" i="4"/>
  <c r="AA40" i="4"/>
  <c r="AA39" i="4"/>
  <c r="AA35" i="4"/>
  <c r="AA31" i="4"/>
  <c r="AA18"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Z25" i="4"/>
  <c r="Z24" i="4"/>
  <c r="Z23" i="4"/>
  <c r="Z22" i="4"/>
  <c r="Z21" i="4"/>
  <c r="Z20" i="4"/>
  <c r="Z19" i="4"/>
  <c r="Z18" i="4"/>
  <c r="Z17" i="4"/>
  <c r="Z16" i="4"/>
  <c r="Z15" i="4"/>
  <c r="Z14" i="4"/>
  <c r="Z13" i="4"/>
  <c r="Z12" i="4"/>
  <c r="Z11" i="4"/>
  <c r="Y110" i="4"/>
  <c r="Y109" i="4"/>
  <c r="Y108" i="4"/>
  <c r="Y107" i="4"/>
  <c r="Y106" i="4"/>
  <c r="Y105" i="4"/>
  <c r="Y104" i="4"/>
  <c r="Y103" i="4"/>
  <c r="Y102" i="4"/>
  <c r="Y100" i="4"/>
  <c r="Y96" i="4"/>
  <c r="Y81" i="4"/>
  <c r="Y72" i="4"/>
  <c r="Y71" i="4"/>
  <c r="Y70" i="4"/>
  <c r="Y69" i="4"/>
  <c r="Y68" i="4"/>
  <c r="Y67" i="4"/>
  <c r="Y66" i="4"/>
  <c r="Y61" i="4"/>
  <c r="Y60" i="4"/>
  <c r="Y59" i="4"/>
  <c r="Y58" i="4"/>
  <c r="Y57" i="4"/>
  <c r="Y56" i="4"/>
  <c r="Y55" i="4"/>
  <c r="Y53" i="4"/>
  <c r="Y52" i="4"/>
  <c r="Y51" i="4"/>
  <c r="Y50" i="4"/>
  <c r="Y49" i="4"/>
  <c r="Y48" i="4"/>
  <c r="Y47" i="4"/>
  <c r="Y46" i="4"/>
  <c r="Y45" i="4"/>
  <c r="Y44" i="4"/>
  <c r="Y43" i="4"/>
  <c r="Y42" i="4"/>
  <c r="Y41" i="4"/>
  <c r="Y40" i="4"/>
  <c r="Y39" i="4"/>
  <c r="Y35" i="4"/>
  <c r="Y31" i="4"/>
  <c r="Y24" i="4"/>
  <c r="Y18" i="4"/>
  <c r="Q110" i="4"/>
  <c r="S110" i="4" s="1"/>
  <c r="T110" i="4" s="1"/>
  <c r="Q109" i="4"/>
  <c r="S109" i="4" s="1"/>
  <c r="T109" i="4" s="1"/>
  <c r="Q108" i="4"/>
  <c r="S108" i="4" s="1"/>
  <c r="Q107" i="4"/>
  <c r="S107" i="4" s="1"/>
  <c r="T107" i="4" s="1"/>
  <c r="Q106" i="4"/>
  <c r="S106" i="4" s="1"/>
  <c r="Q105" i="4"/>
  <c r="S105" i="4" s="1"/>
  <c r="Q104" i="4"/>
  <c r="S104" i="4" s="1"/>
  <c r="T104" i="4" s="1"/>
  <c r="Q103" i="4"/>
  <c r="S103" i="4" s="1"/>
  <c r="T103" i="4" s="1"/>
  <c r="Q102" i="4"/>
  <c r="S102" i="4" s="1"/>
  <c r="Q100" i="4"/>
  <c r="S100" i="4" s="1"/>
  <c r="Q99" i="4"/>
  <c r="Q95" i="4"/>
  <c r="Q89" i="4"/>
  <c r="Q88" i="4"/>
  <c r="Q87" i="4"/>
  <c r="Q86" i="4"/>
  <c r="Q84" i="4"/>
  <c r="Q83" i="4"/>
  <c r="T83" i="4" s="1"/>
  <c r="Q80" i="4"/>
  <c r="Q79" i="4"/>
  <c r="Q78" i="4"/>
  <c r="Q75" i="4"/>
  <c r="S75" i="4" s="1"/>
  <c r="T75" i="4" s="1"/>
  <c r="Q74" i="4"/>
  <c r="S74" i="4" s="1"/>
  <c r="T74" i="4" s="1"/>
  <c r="Q73" i="4"/>
  <c r="S73" i="4" s="1"/>
  <c r="T73" i="4" s="1"/>
  <c r="Q72" i="4"/>
  <c r="S72" i="4" s="1"/>
  <c r="Q71" i="4"/>
  <c r="S71" i="4" s="1"/>
  <c r="T71" i="4" s="1"/>
  <c r="Q61" i="4"/>
  <c r="S61" i="4" s="1"/>
  <c r="T61" i="4" s="1"/>
  <c r="V61" i="4" s="1"/>
  <c r="U61" i="4" s="1"/>
  <c r="Q59" i="4"/>
  <c r="S59" i="4" s="1"/>
  <c r="T59" i="4" s="1"/>
  <c r="Q58" i="4"/>
  <c r="S58" i="4" s="1"/>
  <c r="Q53" i="4"/>
  <c r="S53" i="4" s="1"/>
  <c r="Q52" i="4"/>
  <c r="S52" i="4" s="1"/>
  <c r="T52" i="4" s="1"/>
  <c r="Q49" i="4"/>
  <c r="S49" i="4" s="1"/>
  <c r="T49" i="4" s="1"/>
  <c r="Q48" i="4"/>
  <c r="S48" i="4" s="1"/>
  <c r="T48" i="4" s="1"/>
  <c r="Q45" i="4"/>
  <c r="S45" i="4" s="1"/>
  <c r="Q41" i="4"/>
  <c r="S41" i="4" s="1"/>
  <c r="Q40" i="4"/>
  <c r="S40" i="4" s="1"/>
  <c r="C40" i="4" s="1"/>
  <c r="Q39" i="4"/>
  <c r="S39" i="4" s="1"/>
  <c r="C39" i="4" s="1"/>
  <c r="Q38" i="4"/>
  <c r="S38" i="4" s="1"/>
  <c r="Q37" i="4"/>
  <c r="S37" i="4" s="1"/>
  <c r="Q36" i="4"/>
  <c r="Q35" i="4"/>
  <c r="S35" i="4" s="1"/>
  <c r="C35" i="4" s="1"/>
  <c r="Q34" i="4"/>
  <c r="S34" i="4" s="1"/>
  <c r="Q33" i="4"/>
  <c r="S33" i="4" s="1"/>
  <c r="Q32" i="4"/>
  <c r="S32" i="4" s="1"/>
  <c r="T32" i="4" s="1"/>
  <c r="Q31" i="4"/>
  <c r="S31" i="4" s="1"/>
  <c r="C31" i="4" s="1"/>
  <c r="Q30" i="4"/>
  <c r="Q29" i="4"/>
  <c r="S29" i="4" s="1"/>
  <c r="T29" i="4" s="1"/>
  <c r="Q28" i="4"/>
  <c r="S28" i="4" s="1"/>
  <c r="Q27" i="4"/>
  <c r="S27" i="4" s="1"/>
  <c r="Q26" i="4"/>
  <c r="S26" i="4" s="1"/>
  <c r="Q24" i="4"/>
  <c r="Q23" i="4"/>
  <c r="S23" i="4" s="1"/>
  <c r="Q22" i="4"/>
  <c r="S22" i="4" s="1"/>
  <c r="Q21" i="4"/>
  <c r="S21" i="4" s="1"/>
  <c r="Q20" i="4"/>
  <c r="Q19" i="4"/>
  <c r="S19" i="4" s="1"/>
  <c r="Q18" i="4"/>
  <c r="S18" i="4" s="1"/>
  <c r="C18" i="4" s="1"/>
  <c r="Q17" i="4"/>
  <c r="S17" i="4" s="1"/>
  <c r="Q16" i="4"/>
  <c r="S16" i="4" s="1"/>
  <c r="Q15" i="4"/>
  <c r="S15" i="4" s="1"/>
  <c r="Q14" i="4"/>
  <c r="S14" i="4" s="1"/>
  <c r="Q13" i="4"/>
  <c r="S13" i="4" s="1"/>
  <c r="Q12" i="4"/>
  <c r="S12" i="4" s="1"/>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L110" i="4"/>
  <c r="L109" i="4"/>
  <c r="L108" i="4"/>
  <c r="L107" i="4"/>
  <c r="F107" i="4" s="1"/>
  <c r="L106" i="4"/>
  <c r="L105" i="4"/>
  <c r="L104" i="4"/>
  <c r="L103" i="4"/>
  <c r="F103" i="4" s="1"/>
  <c r="L102" i="4"/>
  <c r="L100" i="4"/>
  <c r="L98" i="4"/>
  <c r="L96" i="4"/>
  <c r="L94" i="4"/>
  <c r="L90" i="4"/>
  <c r="L86" i="4"/>
  <c r="L82" i="4"/>
  <c r="L81" i="4"/>
  <c r="L78" i="4"/>
  <c r="L74" i="4"/>
  <c r="L72" i="4"/>
  <c r="L71" i="4"/>
  <c r="L70" i="4"/>
  <c r="L69" i="4"/>
  <c r="L68" i="4"/>
  <c r="L67" i="4"/>
  <c r="L66" i="4"/>
  <c r="L61" i="4"/>
  <c r="L53" i="4"/>
  <c r="L52" i="4"/>
  <c r="L51" i="4"/>
  <c r="L50" i="4"/>
  <c r="L49" i="4"/>
  <c r="L48" i="4"/>
  <c r="L41" i="4"/>
  <c r="L40" i="4"/>
  <c r="L36" i="4"/>
  <c r="L35" i="4"/>
  <c r="L32" i="4"/>
  <c r="L31" i="4"/>
  <c r="L28" i="4"/>
  <c r="L24" i="4"/>
  <c r="L20" i="4"/>
  <c r="L18" i="4"/>
  <c r="L16" i="4"/>
  <c r="L12"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C119" i="4"/>
  <c r="AA18" i="8"/>
  <c r="AA17" i="8"/>
  <c r="D61" i="7"/>
  <c r="D60" i="7"/>
  <c r="D59" i="7"/>
  <c r="D58" i="7"/>
  <c r="D57" i="7"/>
  <c r="D56" i="7"/>
  <c r="D55" i="7"/>
  <c r="D54" i="7"/>
  <c r="D53" i="7"/>
  <c r="D52" i="7"/>
  <c r="D51" i="7"/>
  <c r="D50" i="7"/>
  <c r="D49" i="7"/>
  <c r="AC13" i="8"/>
  <c r="AC12" i="8"/>
  <c r="AC11" i="8"/>
  <c r="C10" i="2"/>
  <c r="C11" i="2"/>
  <c r="C12" i="2"/>
  <c r="C13" i="2"/>
  <c r="C14" i="2"/>
  <c r="C15" i="2"/>
  <c r="C16" i="2"/>
  <c r="C17" i="2"/>
  <c r="C18" i="2"/>
  <c r="C19" i="2"/>
  <c r="C20" i="2"/>
  <c r="C21" i="2"/>
  <c r="C22" i="2"/>
  <c r="C23" i="2"/>
  <c r="C24" i="2"/>
  <c r="C25" i="2"/>
  <c r="B25" i="2"/>
  <c r="D25" i="2" s="1"/>
  <c r="AI41" i="8" s="1"/>
  <c r="B24" i="2"/>
  <c r="D24" i="2"/>
  <c r="AI40" i="8"/>
  <c r="B23" i="2"/>
  <c r="D23" i="2"/>
  <c r="AI39" i="8"/>
  <c r="B22" i="2"/>
  <c r="D22" i="2"/>
  <c r="AI38" i="8"/>
  <c r="B21" i="2"/>
  <c r="D21" i="2"/>
  <c r="AI37" i="8"/>
  <c r="B20" i="2"/>
  <c r="D20" i="2"/>
  <c r="AI36" i="8"/>
  <c r="B19" i="2"/>
  <c r="D19" i="2"/>
  <c r="AI35" i="8"/>
  <c r="B18" i="2"/>
  <c r="D18" i="2"/>
  <c r="AI34" i="8"/>
  <c r="B17" i="2"/>
  <c r="D17" i="2"/>
  <c r="AI33" i="8"/>
  <c r="B16" i="2"/>
  <c r="D16" i="2"/>
  <c r="AI32" i="8"/>
  <c r="B15" i="2"/>
  <c r="D15" i="2"/>
  <c r="AI31" i="8"/>
  <c r="B14" i="2"/>
  <c r="D14" i="2"/>
  <c r="AI30" i="8"/>
  <c r="B13" i="2"/>
  <c r="D13" i="2"/>
  <c r="AI29" i="8"/>
  <c r="B12" i="2"/>
  <c r="D12" i="2"/>
  <c r="AI28" i="8"/>
  <c r="B11" i="2"/>
  <c r="D11" i="2"/>
  <c r="AI27" i="8"/>
  <c r="B10" i="2"/>
  <c r="D10" i="2"/>
  <c r="AI26" i="8"/>
  <c r="B9" i="2"/>
  <c r="D9" i="2"/>
  <c r="AI25" i="8"/>
  <c r="AE7" i="8"/>
  <c r="AE6" i="8"/>
  <c r="AE5" i="8"/>
  <c r="AE4" i="8"/>
  <c r="AG13" i="8"/>
  <c r="AG12" i="8"/>
  <c r="AG11" i="8"/>
  <c r="AG10" i="8"/>
  <c r="AG8" i="8"/>
  <c r="AG7" i="8"/>
  <c r="AG6" i="8"/>
  <c r="AG5" i="8"/>
  <c r="AG4" i="8"/>
  <c r="AI23" i="8"/>
  <c r="AI22" i="8"/>
  <c r="AI21" i="8"/>
  <c r="AI20" i="8"/>
  <c r="AI19" i="8"/>
  <c r="AI18" i="8"/>
  <c r="AI17" i="8"/>
  <c r="AI16" i="8"/>
  <c r="AI15" i="8"/>
  <c r="AI14" i="8"/>
  <c r="AI13" i="8"/>
  <c r="AI12" i="8"/>
  <c r="AI11" i="8"/>
  <c r="AI10" i="8"/>
  <c r="AI9" i="8"/>
  <c r="AI8" i="8"/>
  <c r="AI7" i="8"/>
  <c r="AI6" i="8"/>
  <c r="AI5" i="8"/>
  <c r="AI4" i="8"/>
  <c r="S36" i="4"/>
  <c r="C36" i="4" s="1"/>
  <c r="S30" i="4"/>
  <c r="S24" i="4"/>
  <c r="S20" i="4"/>
  <c r="K370" i="2"/>
  <c r="K345" i="2"/>
  <c r="K220" i="2"/>
  <c r="N14" i="4"/>
  <c r="N30" i="4"/>
  <c r="T44" i="4"/>
  <c r="N63" i="4"/>
  <c r="N64" i="4"/>
  <c r="N65" i="4"/>
  <c r="N66" i="4"/>
  <c r="N67" i="4"/>
  <c r="N68" i="4"/>
  <c r="N69" i="4"/>
  <c r="N70" i="4"/>
  <c r="S86" i="4"/>
  <c r="S88" i="4"/>
  <c r="S89" i="4"/>
  <c r="N94" i="4"/>
  <c r="N98" i="4"/>
  <c r="S99" i="4"/>
  <c r="G8" i="4"/>
  <c r="C38" i="3"/>
  <c r="D38" i="3"/>
  <c r="E38" i="3" s="1"/>
  <c r="C39" i="3"/>
  <c r="D39" i="3" s="1"/>
  <c r="E39" i="3" s="1"/>
  <c r="E8" i="4"/>
  <c r="D420" i="2"/>
  <c r="AX410" i="2"/>
  <c r="AY410" i="2"/>
  <c r="AZ410" i="2"/>
  <c r="R24" i="2"/>
  <c r="D395" i="2"/>
  <c r="AX385" i="2"/>
  <c r="AY385" i="2"/>
  <c r="AZ385" i="2"/>
  <c r="R23" i="2"/>
  <c r="D370" i="2"/>
  <c r="AX360" i="2"/>
  <c r="AY360" i="2"/>
  <c r="AZ360" i="2"/>
  <c r="R22" i="2"/>
  <c r="R21" i="2"/>
  <c r="D345" i="2"/>
  <c r="AX335" i="2"/>
  <c r="AY335" i="2"/>
  <c r="AZ335" i="2"/>
  <c r="R20" i="2"/>
  <c r="D320" i="2"/>
  <c r="AX310" i="2"/>
  <c r="AY310" i="2"/>
  <c r="AZ310" i="2"/>
  <c r="D295" i="2"/>
  <c r="AX285" i="2"/>
  <c r="AY285" i="2"/>
  <c r="AZ285" i="2"/>
  <c r="AS302" i="2"/>
  <c r="AS298" i="2"/>
  <c r="BO20" i="2"/>
  <c r="BO21" i="2"/>
  <c r="BO22" i="2"/>
  <c r="BO23" i="2"/>
  <c r="BO24" i="2"/>
  <c r="AS427" i="2"/>
  <c r="AS423" i="2"/>
  <c r="AS426" i="2"/>
  <c r="AS425" i="2"/>
  <c r="AS424" i="2"/>
  <c r="BG410" i="2"/>
  <c r="BH410" i="2"/>
  <c r="BI410" i="2"/>
  <c r="AG421" i="2"/>
  <c r="AF421" i="2"/>
  <c r="AE421" i="2"/>
  <c r="Z421" i="2"/>
  <c r="AO412" i="2"/>
  <c r="AO413" i="2"/>
  <c r="AO414" i="2"/>
  <c r="AO415" i="2"/>
  <c r="AO416" i="2"/>
  <c r="AO417" i="2"/>
  <c r="AO418" i="2"/>
  <c r="AO419" i="2"/>
  <c r="AN412" i="2"/>
  <c r="AN413" i="2"/>
  <c r="AN414" i="2"/>
  <c r="AN415" i="2"/>
  <c r="AN416" i="2"/>
  <c r="AN417" i="2"/>
  <c r="AN418" i="2"/>
  <c r="AN419" i="2"/>
  <c r="AM412" i="2"/>
  <c r="AM413" i="2"/>
  <c r="AM414" i="2"/>
  <c r="AM415" i="2"/>
  <c r="AM416" i="2"/>
  <c r="AM417" i="2"/>
  <c r="AM418" i="2"/>
  <c r="AM419" i="2"/>
  <c r="Z411" i="2"/>
  <c r="BJ410" i="2"/>
  <c r="BA410" i="2"/>
  <c r="Z410" i="2"/>
  <c r="J35" i="2"/>
  <c r="J460" i="2" s="1"/>
  <c r="X35" i="2"/>
  <c r="X410" i="2" s="1"/>
  <c r="W35" i="2"/>
  <c r="W410" i="2"/>
  <c r="U9" i="4"/>
  <c r="F9" i="4" s="1"/>
  <c r="G35" i="2"/>
  <c r="U35" i="2" s="1"/>
  <c r="T35" i="2"/>
  <c r="T410" i="2"/>
  <c r="R410" i="2"/>
  <c r="P35" i="2"/>
  <c r="P410" i="2"/>
  <c r="M35" i="2"/>
  <c r="M410" i="2"/>
  <c r="K410" i="2"/>
  <c r="I410" i="2"/>
  <c r="F410" i="2"/>
  <c r="D410" i="2"/>
  <c r="AS402" i="2"/>
  <c r="AS398" i="2"/>
  <c r="AS401" i="2"/>
  <c r="AS400" i="2"/>
  <c r="AS399" i="2"/>
  <c r="BG385" i="2"/>
  <c r="BH385" i="2"/>
  <c r="BI385" i="2"/>
  <c r="AG396" i="2"/>
  <c r="AF396" i="2"/>
  <c r="AE396" i="2"/>
  <c r="Z396" i="2"/>
  <c r="AO387" i="2"/>
  <c r="AO388" i="2"/>
  <c r="AO389" i="2"/>
  <c r="AO390" i="2"/>
  <c r="AO391" i="2"/>
  <c r="AO392" i="2"/>
  <c r="AO393" i="2"/>
  <c r="AO394" i="2"/>
  <c r="AN387" i="2"/>
  <c r="AN388" i="2"/>
  <c r="AN389" i="2"/>
  <c r="AN390" i="2"/>
  <c r="AN391" i="2"/>
  <c r="AN392" i="2"/>
  <c r="AN393" i="2"/>
  <c r="AN394" i="2"/>
  <c r="AM387" i="2"/>
  <c r="AM388" i="2"/>
  <c r="AM389" i="2"/>
  <c r="AM390" i="2"/>
  <c r="AM391" i="2"/>
  <c r="AM392" i="2"/>
  <c r="AM393" i="2"/>
  <c r="AM394" i="2"/>
  <c r="Z386" i="2"/>
  <c r="BJ385" i="2"/>
  <c r="BA385" i="2"/>
  <c r="Z385" i="2"/>
  <c r="W385" i="2"/>
  <c r="T385" i="2"/>
  <c r="R385" i="2"/>
  <c r="P385" i="2"/>
  <c r="M385" i="2"/>
  <c r="K385" i="2"/>
  <c r="J385" i="2"/>
  <c r="I385" i="2"/>
  <c r="F385" i="2"/>
  <c r="D385" i="2"/>
  <c r="AS377" i="2"/>
  <c r="AS373" i="2"/>
  <c r="AS376" i="2"/>
  <c r="AS375" i="2"/>
  <c r="AS374" i="2"/>
  <c r="BG360" i="2"/>
  <c r="BH360" i="2"/>
  <c r="BI360" i="2"/>
  <c r="AG371" i="2"/>
  <c r="AF371" i="2"/>
  <c r="AE371" i="2"/>
  <c r="Z371" i="2"/>
  <c r="AO362" i="2"/>
  <c r="AO363" i="2"/>
  <c r="AO364" i="2"/>
  <c r="AO365" i="2"/>
  <c r="AO366" i="2"/>
  <c r="AO367" i="2"/>
  <c r="AO368" i="2"/>
  <c r="AO369" i="2"/>
  <c r="AN362" i="2"/>
  <c r="AN363" i="2"/>
  <c r="AN364" i="2"/>
  <c r="AN365" i="2"/>
  <c r="AN366" i="2"/>
  <c r="AN367" i="2"/>
  <c r="AN368" i="2"/>
  <c r="AN369" i="2"/>
  <c r="AM362" i="2"/>
  <c r="AM363" i="2"/>
  <c r="AM364" i="2"/>
  <c r="AM365" i="2"/>
  <c r="AM366" i="2"/>
  <c r="AM367" i="2"/>
  <c r="AM368" i="2"/>
  <c r="AM369" i="2"/>
  <c r="Z361" i="2"/>
  <c r="BJ360" i="2"/>
  <c r="BA360" i="2"/>
  <c r="Z360" i="2"/>
  <c r="W360" i="2"/>
  <c r="T360" i="2"/>
  <c r="R360" i="2"/>
  <c r="P360" i="2"/>
  <c r="M360" i="2"/>
  <c r="K360" i="2"/>
  <c r="I360" i="2"/>
  <c r="F360" i="2"/>
  <c r="D360" i="2"/>
  <c r="AS352" i="2"/>
  <c r="AS348" i="2"/>
  <c r="AS351" i="2"/>
  <c r="AS350" i="2"/>
  <c r="AS349" i="2"/>
  <c r="BG335" i="2"/>
  <c r="BH335" i="2"/>
  <c r="BI335" i="2"/>
  <c r="AG346" i="2"/>
  <c r="AF346" i="2"/>
  <c r="AE346" i="2"/>
  <c r="Z346" i="2"/>
  <c r="AO337" i="2"/>
  <c r="AO338" i="2"/>
  <c r="AO339" i="2"/>
  <c r="AO340" i="2"/>
  <c r="AO341" i="2"/>
  <c r="AO342" i="2"/>
  <c r="AO343" i="2"/>
  <c r="AO344" i="2"/>
  <c r="AN337" i="2"/>
  <c r="AN338" i="2"/>
  <c r="AN339" i="2"/>
  <c r="AN340" i="2"/>
  <c r="AN341" i="2"/>
  <c r="AN342" i="2"/>
  <c r="AN343" i="2"/>
  <c r="AN344" i="2"/>
  <c r="AM337" i="2"/>
  <c r="AM338" i="2"/>
  <c r="AM339" i="2"/>
  <c r="AM340" i="2"/>
  <c r="AM341" i="2"/>
  <c r="AM342" i="2"/>
  <c r="AM343" i="2"/>
  <c r="AM344" i="2"/>
  <c r="Z336" i="2"/>
  <c r="BJ335" i="2"/>
  <c r="BA335" i="2"/>
  <c r="Z335" i="2"/>
  <c r="W335" i="2"/>
  <c r="T335" i="2"/>
  <c r="R335" i="2"/>
  <c r="P335" i="2"/>
  <c r="M335" i="2"/>
  <c r="K335" i="2"/>
  <c r="J335" i="2"/>
  <c r="I335" i="2"/>
  <c r="F335" i="2"/>
  <c r="D335" i="2"/>
  <c r="AS327" i="2"/>
  <c r="AS323" i="2"/>
  <c r="AS326" i="2"/>
  <c r="AS325" i="2"/>
  <c r="AS324" i="2"/>
  <c r="BG310" i="2"/>
  <c r="BH310" i="2"/>
  <c r="BI310" i="2"/>
  <c r="AG321" i="2"/>
  <c r="AF321" i="2"/>
  <c r="AE321" i="2"/>
  <c r="Z321" i="2"/>
  <c r="AO312" i="2"/>
  <c r="AO313" i="2"/>
  <c r="AO314" i="2"/>
  <c r="AO315" i="2"/>
  <c r="AO316" i="2"/>
  <c r="AO317" i="2"/>
  <c r="AO318" i="2"/>
  <c r="AO319" i="2"/>
  <c r="AN312" i="2"/>
  <c r="AN313" i="2"/>
  <c r="AN314" i="2"/>
  <c r="AN315" i="2"/>
  <c r="AN316" i="2"/>
  <c r="AN317" i="2"/>
  <c r="AN318" i="2"/>
  <c r="AN319" i="2"/>
  <c r="AM312" i="2"/>
  <c r="AM313" i="2"/>
  <c r="AM314" i="2"/>
  <c r="AM315" i="2"/>
  <c r="AM316" i="2"/>
  <c r="AM317" i="2"/>
  <c r="AM318" i="2"/>
  <c r="AM319" i="2"/>
  <c r="Z311" i="2"/>
  <c r="BJ310" i="2"/>
  <c r="BA310" i="2"/>
  <c r="Z310" i="2"/>
  <c r="W310" i="2"/>
  <c r="T310" i="2"/>
  <c r="R310" i="2"/>
  <c r="P310" i="2"/>
  <c r="M310" i="2"/>
  <c r="K310" i="2"/>
  <c r="I310" i="2"/>
  <c r="G310" i="2"/>
  <c r="F310" i="2"/>
  <c r="D310" i="2"/>
  <c r="J281" i="7"/>
  <c r="L61" i="7"/>
  <c r="N61" i="7"/>
  <c r="X61" i="7"/>
  <c r="I61" i="7"/>
  <c r="F61" i="7"/>
  <c r="E61" i="7"/>
  <c r="J280" i="7"/>
  <c r="I277" i="7"/>
  <c r="I276" i="7"/>
  <c r="AE8" i="4"/>
  <c r="N274" i="7"/>
  <c r="H274" i="7"/>
  <c r="C274" i="7"/>
  <c r="D28" i="7"/>
  <c r="N273" i="7"/>
  <c r="M273" i="7"/>
  <c r="L273" i="7"/>
  <c r="K273" i="7"/>
  <c r="J273" i="7"/>
  <c r="I273" i="7"/>
  <c r="H273" i="7"/>
  <c r="G273" i="7"/>
  <c r="F273" i="7"/>
  <c r="E273" i="7"/>
  <c r="D273" i="7"/>
  <c r="S3" i="2"/>
  <c r="U3" i="7"/>
  <c r="J3" i="4"/>
  <c r="R3" i="3"/>
  <c r="E9" i="3"/>
  <c r="H6" i="8"/>
  <c r="F6" i="7" s="1"/>
  <c r="H53" i="7"/>
  <c r="N53" i="7"/>
  <c r="K53" i="7"/>
  <c r="T76" i="8"/>
  <c r="R76" i="8" s="1"/>
  <c r="T77" i="8"/>
  <c r="R77" i="8" s="1"/>
  <c r="T78" i="8"/>
  <c r="R78" i="8" s="1"/>
  <c r="T79" i="8"/>
  <c r="R79" i="8" s="1"/>
  <c r="T80" i="8"/>
  <c r="R80" i="8" s="1"/>
  <c r="T81" i="8"/>
  <c r="R81" i="8" s="1"/>
  <c r="T82" i="8"/>
  <c r="R82" i="8" s="1"/>
  <c r="T83" i="8"/>
  <c r="R83" i="8" s="1"/>
  <c r="T84" i="8"/>
  <c r="R84" i="8" s="1"/>
  <c r="T85" i="8"/>
  <c r="R85" i="8" s="1"/>
  <c r="T86" i="8"/>
  <c r="R86" i="8" s="1"/>
  <c r="AI57" i="8"/>
  <c r="E6" i="7"/>
  <c r="G9" i="3"/>
  <c r="K58" i="8"/>
  <c r="J58" i="8"/>
  <c r="AI58" i="8"/>
  <c r="AI59" i="8"/>
  <c r="AI60" i="8"/>
  <c r="J9" i="3"/>
  <c r="K59" i="8"/>
  <c r="J59" i="8"/>
  <c r="I9" i="3"/>
  <c r="K60" i="8"/>
  <c r="J60" i="8"/>
  <c r="H9" i="3"/>
  <c r="K61" i="8"/>
  <c r="J61" i="8"/>
  <c r="U62" i="8"/>
  <c r="V62" i="8" s="1"/>
  <c r="W62" i="8" s="1"/>
  <c r="Z62" i="8" s="1"/>
  <c r="K62" i="8"/>
  <c r="U63" i="8"/>
  <c r="V63" i="8" s="1"/>
  <c r="W63" i="8" s="1"/>
  <c r="K63" i="8"/>
  <c r="U64" i="8"/>
  <c r="V64" i="8" s="1"/>
  <c r="W64" i="8" s="1"/>
  <c r="K64" i="8"/>
  <c r="U65" i="8"/>
  <c r="V65" i="8" s="1"/>
  <c r="W65" i="8" s="1"/>
  <c r="K65" i="8"/>
  <c r="U66" i="8"/>
  <c r="V66" i="8" s="1"/>
  <c r="W66" i="8" s="1"/>
  <c r="AC66" i="8" s="1"/>
  <c r="K66" i="8"/>
  <c r="U67" i="8"/>
  <c r="V67" i="8" s="1"/>
  <c r="W67" i="8" s="1"/>
  <c r="K67" i="8"/>
  <c r="U68" i="8"/>
  <c r="V68" i="8" s="1"/>
  <c r="W68" i="8" s="1"/>
  <c r="Z68" i="8" s="1"/>
  <c r="K68" i="8"/>
  <c r="U69" i="8"/>
  <c r="V69" i="8" s="1"/>
  <c r="W69" i="8" s="1"/>
  <c r="K69" i="8"/>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E42" i="3"/>
  <c r="E62" i="3"/>
  <c r="F50" i="7"/>
  <c r="H50" i="7"/>
  <c r="L50" i="7"/>
  <c r="N50" i="7"/>
  <c r="I50" i="7"/>
  <c r="K50" i="7"/>
  <c r="H18" i="8"/>
  <c r="B43" i="4"/>
  <c r="B44" i="4" s="1"/>
  <c r="B45" i="4" s="1"/>
  <c r="B46" i="4" s="1"/>
  <c r="B47" i="4" s="1"/>
  <c r="B48" i="4" s="1"/>
  <c r="B49" i="4" s="1"/>
  <c r="B50" i="4" s="1"/>
  <c r="B51" i="4" s="1"/>
  <c r="B52" i="4" s="1"/>
  <c r="B53" i="4" s="1"/>
  <c r="B54" i="4" s="1"/>
  <c r="B55" i="4" s="1"/>
  <c r="B56" i="4" s="1"/>
  <c r="B57" i="4" s="1"/>
  <c r="B58" i="4" s="1"/>
  <c r="B59" i="4" s="1"/>
  <c r="B60" i="4" s="1"/>
  <c r="B63" i="4"/>
  <c r="B64" i="4" s="1"/>
  <c r="B65" i="4" s="1"/>
  <c r="B66" i="4" s="1"/>
  <c r="B67" i="4" s="1"/>
  <c r="B68" i="4" s="1"/>
  <c r="B69" i="4" s="1"/>
  <c r="B70" i="4" s="1"/>
  <c r="B71" i="4" s="1"/>
  <c r="B72" i="4" s="1"/>
  <c r="B74" i="4"/>
  <c r="C74" i="4" s="1"/>
  <c r="B75" i="4"/>
  <c r="C75" i="4" s="1"/>
  <c r="J138" i="7"/>
  <c r="L53" i="7"/>
  <c r="X53" i="7"/>
  <c r="F49" i="7"/>
  <c r="H49" i="7"/>
  <c r="L49" i="7"/>
  <c r="N49" i="7"/>
  <c r="I49" i="7"/>
  <c r="K49" i="7"/>
  <c r="AF47" i="7"/>
  <c r="AG47" i="7"/>
  <c r="F52" i="7"/>
  <c r="H52" i="7"/>
  <c r="L52" i="7"/>
  <c r="N52" i="7"/>
  <c r="I52" i="7"/>
  <c r="K52" i="7"/>
  <c r="F54" i="7"/>
  <c r="H54" i="7"/>
  <c r="L54" i="7"/>
  <c r="N54" i="7"/>
  <c r="I54" i="7"/>
  <c r="K54" i="7"/>
  <c r="F56" i="7"/>
  <c r="H56" i="7"/>
  <c r="L56" i="7"/>
  <c r="N56" i="7"/>
  <c r="I56" i="7"/>
  <c r="K56" i="7"/>
  <c r="H61" i="7"/>
  <c r="K61" i="7"/>
  <c r="Q76" i="8"/>
  <c r="Q77" i="8"/>
  <c r="Q78" i="8"/>
  <c r="Q79" i="8"/>
  <c r="Q80" i="8"/>
  <c r="Q81" i="8"/>
  <c r="Q82" i="8"/>
  <c r="Q83" i="8"/>
  <c r="Q84" i="8"/>
  <c r="Q85" i="8"/>
  <c r="Q86" i="8"/>
  <c r="AC57" i="8"/>
  <c r="AD57" i="8"/>
  <c r="O28" i="7"/>
  <c r="Q62" i="8"/>
  <c r="Q63" i="8"/>
  <c r="Q64" i="8"/>
  <c r="Q65" i="8"/>
  <c r="Q66" i="8"/>
  <c r="Q67" i="8"/>
  <c r="Q68" i="8"/>
  <c r="Q69" i="8"/>
  <c r="F9" i="3"/>
  <c r="P76" i="8"/>
  <c r="P77" i="8"/>
  <c r="P78" i="8"/>
  <c r="P79" i="8"/>
  <c r="P80" i="8"/>
  <c r="P81" i="8"/>
  <c r="P82" i="8"/>
  <c r="P83" i="8"/>
  <c r="P84" i="8"/>
  <c r="P85" i="8"/>
  <c r="P86" i="8"/>
  <c r="X57" i="8"/>
  <c r="Y57" i="8"/>
  <c r="P62" i="8"/>
  <c r="P63" i="8"/>
  <c r="P64" i="8"/>
  <c r="P65" i="8"/>
  <c r="P66" i="8"/>
  <c r="P67" i="8"/>
  <c r="P68" i="8"/>
  <c r="P69" i="8"/>
  <c r="O76" i="8"/>
  <c r="O77" i="8"/>
  <c r="O78" i="8"/>
  <c r="O79" i="8"/>
  <c r="O80" i="8"/>
  <c r="O81" i="8"/>
  <c r="O82" i="8"/>
  <c r="O83" i="8"/>
  <c r="O84" i="8"/>
  <c r="O85" i="8"/>
  <c r="O86" i="8"/>
  <c r="N28" i="7"/>
  <c r="O62" i="8"/>
  <c r="O63" i="8"/>
  <c r="O64" i="8"/>
  <c r="O65" i="8"/>
  <c r="O66" i="8"/>
  <c r="O67" i="8"/>
  <c r="O68" i="8"/>
  <c r="O69" i="8"/>
  <c r="U22" i="8"/>
  <c r="L9" i="3"/>
  <c r="H7" i="8"/>
  <c r="T22" i="8" s="1"/>
  <c r="P11" i="3"/>
  <c r="P12" i="3"/>
  <c r="P13" i="3"/>
  <c r="P14" i="3"/>
  <c r="P15" i="3"/>
  <c r="R9" i="3"/>
  <c r="E9" i="7"/>
  <c r="H38" i="3"/>
  <c r="M38"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O42" i="3"/>
  <c r="N38" i="3"/>
  <c r="O38" i="3"/>
  <c r="H39" i="3"/>
  <c r="M39" i="3" s="1"/>
  <c r="N39" i="3" s="1"/>
  <c r="O39" i="3" s="1"/>
  <c r="O62" i="3"/>
  <c r="N44" i="3"/>
  <c r="N48" i="3"/>
  <c r="N52" i="3"/>
  <c r="N56" i="3"/>
  <c r="N60"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J42" i="3"/>
  <c r="I38" i="3"/>
  <c r="J38" i="3" s="1"/>
  <c r="J62" i="3"/>
  <c r="I42" i="3"/>
  <c r="I43" i="3"/>
  <c r="I44" i="3"/>
  <c r="I45" i="3"/>
  <c r="I46" i="3"/>
  <c r="I47" i="3"/>
  <c r="I48" i="3"/>
  <c r="I49" i="3"/>
  <c r="I50" i="3"/>
  <c r="I51" i="3"/>
  <c r="I52" i="3"/>
  <c r="I53" i="3"/>
  <c r="I54" i="3"/>
  <c r="I55" i="3"/>
  <c r="I56" i="3"/>
  <c r="I57" i="3"/>
  <c r="I58" i="3"/>
  <c r="I59" i="3"/>
  <c r="I61" i="3"/>
  <c r="I62" i="3"/>
  <c r="K9" i="3"/>
  <c r="AS152" i="2"/>
  <c r="AS148" i="2"/>
  <c r="D145" i="2"/>
  <c r="AX135" i="2"/>
  <c r="AY135" i="2"/>
  <c r="AZ135" i="2"/>
  <c r="K5" i="2"/>
  <c r="I42" i="8"/>
  <c r="W46" i="7"/>
  <c r="J86" i="8"/>
  <c r="J85" i="8"/>
  <c r="J84" i="8"/>
  <c r="J83" i="8"/>
  <c r="J82" i="8"/>
  <c r="J81" i="8"/>
  <c r="J80" i="8"/>
  <c r="J79" i="8"/>
  <c r="J78" i="8"/>
  <c r="J77" i="8"/>
  <c r="J76" i="8"/>
  <c r="R9" i="2"/>
  <c r="R5" i="2"/>
  <c r="K38" i="8"/>
  <c r="R10" i="2"/>
  <c r="K39" i="8"/>
  <c r="R11" i="2"/>
  <c r="K40" i="8"/>
  <c r="R12" i="2"/>
  <c r="K41" i="8"/>
  <c r="R13" i="2"/>
  <c r="K42" i="8"/>
  <c r="R14" i="2"/>
  <c r="K43" i="8"/>
  <c r="K44" i="8"/>
  <c r="K45" i="8"/>
  <c r="K46" i="8"/>
  <c r="K47" i="8"/>
  <c r="K48" i="8"/>
  <c r="K49" i="8"/>
  <c r="I39" i="8"/>
  <c r="I40" i="8"/>
  <c r="J49" i="8"/>
  <c r="J48" i="8"/>
  <c r="J47" i="8"/>
  <c r="J46" i="8"/>
  <c r="J45" i="8"/>
  <c r="J44" i="8"/>
  <c r="I43" i="8"/>
  <c r="N96" i="4"/>
  <c r="D45" i="2"/>
  <c r="AX35" i="2"/>
  <c r="AY35" i="2"/>
  <c r="AZ35" i="2"/>
  <c r="L37" i="8"/>
  <c r="O21" i="8"/>
  <c r="I87" i="8"/>
  <c r="I70" i="8"/>
  <c r="N46" i="7"/>
  <c r="K75" i="8"/>
  <c r="U52" i="8" s="1"/>
  <c r="V52" i="8" s="1"/>
  <c r="I52" i="8" s="1"/>
  <c r="K76" i="8"/>
  <c r="K77" i="8"/>
  <c r="K78" i="8"/>
  <c r="K79" i="8"/>
  <c r="K80" i="8"/>
  <c r="K81" i="8"/>
  <c r="K82" i="8"/>
  <c r="K83" i="8"/>
  <c r="K84" i="8"/>
  <c r="K85" i="8"/>
  <c r="K86" i="8"/>
  <c r="J74" i="7"/>
  <c r="J75" i="7"/>
  <c r="X49" i="7"/>
  <c r="T46" i="7"/>
  <c r="J153" i="7"/>
  <c r="X54" i="7"/>
  <c r="N76" i="8"/>
  <c r="AA47" i="7"/>
  <c r="AB47" i="7"/>
  <c r="Q46" i="7"/>
  <c r="M76" i="8"/>
  <c r="O46" i="7"/>
  <c r="L76" i="8"/>
  <c r="G16" i="7"/>
  <c r="F16" i="7"/>
  <c r="N16" i="7"/>
  <c r="M16" i="7"/>
  <c r="AS52" i="2"/>
  <c r="AS48" i="2"/>
  <c r="AS77" i="2"/>
  <c r="AS73" i="2"/>
  <c r="D70" i="2"/>
  <c r="AX60" i="2"/>
  <c r="AY60" i="2"/>
  <c r="AZ60" i="2"/>
  <c r="D95" i="2"/>
  <c r="AX85" i="2"/>
  <c r="AY85" i="2"/>
  <c r="AZ85" i="2"/>
  <c r="D120" i="2"/>
  <c r="AX110" i="2"/>
  <c r="AY110" i="2"/>
  <c r="AZ110" i="2"/>
  <c r="D170" i="2"/>
  <c r="AX160" i="2"/>
  <c r="AY160" i="2"/>
  <c r="AZ160" i="2"/>
  <c r="O44" i="8"/>
  <c r="O45" i="8"/>
  <c r="O46" i="8"/>
  <c r="O47" i="8"/>
  <c r="O48" i="8"/>
  <c r="L8" i="2"/>
  <c r="M37" i="8"/>
  <c r="P21" i="8"/>
  <c r="N36" i="8"/>
  <c r="Q20" i="8"/>
  <c r="M36" i="8"/>
  <c r="P20" i="8"/>
  <c r="L36" i="8"/>
  <c r="O20" i="8"/>
  <c r="K24" i="8"/>
  <c r="K23" i="8"/>
  <c r="O36" i="8"/>
  <c r="O29" i="8"/>
  <c r="Q36" i="8"/>
  <c r="Q29" i="8"/>
  <c r="P36" i="8"/>
  <c r="P29" i="8"/>
  <c r="AG30" i="8"/>
  <c r="AF30" i="8"/>
  <c r="AE30" i="8"/>
  <c r="AD30" i="8"/>
  <c r="AC30" i="8"/>
  <c r="AB30" i="8"/>
  <c r="AA30" i="8"/>
  <c r="Z30" i="8"/>
  <c r="Y30" i="8"/>
  <c r="X30" i="8"/>
  <c r="AG49" i="8"/>
  <c r="AF49" i="8"/>
  <c r="AE49" i="8"/>
  <c r="AD49" i="8"/>
  <c r="AC49" i="8"/>
  <c r="AB49" i="8"/>
  <c r="AA49" i="8"/>
  <c r="Z49" i="8"/>
  <c r="Y49" i="8"/>
  <c r="X49" i="8"/>
  <c r="N86" i="8"/>
  <c r="M86" i="8"/>
  <c r="L86" i="8"/>
  <c r="N85" i="8"/>
  <c r="M85" i="8"/>
  <c r="L85" i="8"/>
  <c r="N84" i="8"/>
  <c r="M84" i="8"/>
  <c r="L84" i="8"/>
  <c r="N83" i="8"/>
  <c r="M83" i="8"/>
  <c r="L83" i="8"/>
  <c r="N82" i="8"/>
  <c r="M82" i="8"/>
  <c r="L82" i="8"/>
  <c r="N81" i="8"/>
  <c r="M81" i="8"/>
  <c r="L81" i="8"/>
  <c r="N80" i="8"/>
  <c r="M80" i="8"/>
  <c r="L80" i="8"/>
  <c r="N79" i="8"/>
  <c r="M79" i="8"/>
  <c r="L79" i="8"/>
  <c r="N78" i="8"/>
  <c r="M78" i="8"/>
  <c r="L78" i="8"/>
  <c r="N77" i="8"/>
  <c r="M77" i="8"/>
  <c r="L77" i="8"/>
  <c r="H46" i="7"/>
  <c r="M49" i="8"/>
  <c r="P49" i="8" s="1"/>
  <c r="L49" i="8"/>
  <c r="O49" i="8" s="1"/>
  <c r="N48" i="8"/>
  <c r="M48" i="8"/>
  <c r="L48" i="8"/>
  <c r="N47" i="8"/>
  <c r="M47" i="8"/>
  <c r="L47" i="8"/>
  <c r="N46" i="8"/>
  <c r="M46" i="8"/>
  <c r="L46" i="8"/>
  <c r="N45" i="8"/>
  <c r="M45" i="8"/>
  <c r="L45" i="8"/>
  <c r="N44" i="8"/>
  <c r="M44" i="8"/>
  <c r="L44" i="8"/>
  <c r="J75" i="8"/>
  <c r="S46" i="7"/>
  <c r="R46" i="7"/>
  <c r="P46" i="7"/>
  <c r="M46" i="7"/>
  <c r="L46" i="7"/>
  <c r="K46" i="7"/>
  <c r="J46" i="7"/>
  <c r="I46" i="7"/>
  <c r="G46" i="7"/>
  <c r="F46" i="7"/>
  <c r="E46" i="7"/>
  <c r="D46" i="7"/>
  <c r="N56" i="8"/>
  <c r="N73" i="8"/>
  <c r="Q73" i="8"/>
  <c r="M56" i="8"/>
  <c r="M73" i="8"/>
  <c r="P73" i="8"/>
  <c r="L56" i="8"/>
  <c r="L73" i="8"/>
  <c r="O73" i="8"/>
  <c r="J36" i="8"/>
  <c r="J56" i="8"/>
  <c r="J73" i="8"/>
  <c r="D75" i="8"/>
  <c r="D76" i="8"/>
  <c r="D77" i="8"/>
  <c r="D78" i="8"/>
  <c r="D79" i="8"/>
  <c r="D80" i="8"/>
  <c r="D81" i="8"/>
  <c r="D82" i="8"/>
  <c r="D83" i="8"/>
  <c r="D84" i="8"/>
  <c r="D85" i="8"/>
  <c r="D86" i="8"/>
  <c r="M74" i="8"/>
  <c r="L74" i="8"/>
  <c r="N69" i="8"/>
  <c r="L69" i="8"/>
  <c r="N68" i="8"/>
  <c r="L68" i="8"/>
  <c r="N67" i="8"/>
  <c r="L67" i="8"/>
  <c r="N66" i="8"/>
  <c r="L66" i="8"/>
  <c r="N65" i="8"/>
  <c r="L65" i="8"/>
  <c r="N64" i="8"/>
  <c r="L64" i="8"/>
  <c r="N63" i="8"/>
  <c r="L63" i="8"/>
  <c r="N62" i="8"/>
  <c r="L62" i="8"/>
  <c r="M57" i="8"/>
  <c r="L57" i="8"/>
  <c r="Y66" i="8"/>
  <c r="AF14" i="7"/>
  <c r="AG14" i="7"/>
  <c r="X26" i="7"/>
  <c r="Y26" i="7" s="1"/>
  <c r="X25" i="7"/>
  <c r="Y25" i="7" s="1"/>
  <c r="X24" i="7"/>
  <c r="Y24" i="7" s="1"/>
  <c r="AA14" i="7"/>
  <c r="AB14" i="7"/>
  <c r="AG57" i="8"/>
  <c r="AF57" i="8"/>
  <c r="AE57" i="8"/>
  <c r="AB57" i="8"/>
  <c r="AA57" i="8"/>
  <c r="Z57" i="8"/>
  <c r="J69" i="8"/>
  <c r="T69" i="8"/>
  <c r="J68" i="8"/>
  <c r="T68" i="8"/>
  <c r="J67" i="8"/>
  <c r="T67" i="8"/>
  <c r="J66" i="8"/>
  <c r="T66" i="8"/>
  <c r="J65" i="8"/>
  <c r="T65" i="8"/>
  <c r="J64" i="8"/>
  <c r="T64" i="8"/>
  <c r="J63" i="8"/>
  <c r="T63" i="8"/>
  <c r="J62" i="8"/>
  <c r="T62" i="8"/>
  <c r="AI61" i="8"/>
  <c r="J57" i="8"/>
  <c r="S16" i="7"/>
  <c r="R16" i="7"/>
  <c r="Q16" i="7"/>
  <c r="P16" i="7"/>
  <c r="O16" i="7"/>
  <c r="L16" i="7"/>
  <c r="K16" i="7"/>
  <c r="J16" i="7"/>
  <c r="I16" i="7"/>
  <c r="H16" i="7"/>
  <c r="E16" i="7"/>
  <c r="D16" i="7"/>
  <c r="D58" i="8"/>
  <c r="D59" i="8"/>
  <c r="D60" i="8"/>
  <c r="D61" i="8"/>
  <c r="D62" i="8"/>
  <c r="D63" i="8"/>
  <c r="D64" i="8"/>
  <c r="D65" i="8"/>
  <c r="D66" i="8"/>
  <c r="D67" i="8"/>
  <c r="D68" i="8"/>
  <c r="D69" i="8"/>
  <c r="Q56" i="8"/>
  <c r="P56" i="8"/>
  <c r="O56" i="8"/>
  <c r="Q44" i="8"/>
  <c r="Q45" i="8"/>
  <c r="Q46" i="8"/>
  <c r="Q47" i="8"/>
  <c r="Q48" i="8"/>
  <c r="P44" i="8"/>
  <c r="P45" i="8"/>
  <c r="P46" i="8"/>
  <c r="P47" i="8"/>
  <c r="P48" i="8"/>
  <c r="K36" i="8"/>
  <c r="F5" i="2"/>
  <c r="D38" i="8"/>
  <c r="D39" i="8"/>
  <c r="D40" i="8"/>
  <c r="D41" i="8"/>
  <c r="D42" i="8"/>
  <c r="D43" i="8"/>
  <c r="D44" i="8"/>
  <c r="D45" i="8"/>
  <c r="D46" i="8"/>
  <c r="D47" i="8"/>
  <c r="D48" i="8"/>
  <c r="D49" i="8"/>
  <c r="Q5" i="2"/>
  <c r="P5" i="2"/>
  <c r="O5" i="2"/>
  <c r="N5" i="2"/>
  <c r="M5" i="2"/>
  <c r="L5" i="2"/>
  <c r="J5" i="2"/>
  <c r="I5" i="2"/>
  <c r="H5" i="2"/>
  <c r="G5" i="2"/>
  <c r="E5" i="2"/>
  <c r="D5" i="2"/>
  <c r="AS452" i="2"/>
  <c r="AS448" i="2"/>
  <c r="R25" i="2"/>
  <c r="R19" i="2"/>
  <c r="R18" i="2"/>
  <c r="R17" i="2"/>
  <c r="R16" i="2"/>
  <c r="R15" i="2"/>
  <c r="C9" i="2"/>
  <c r="BO25" i="2"/>
  <c r="BO19" i="2"/>
  <c r="BO18" i="2"/>
  <c r="BO17" i="2"/>
  <c r="BO16" i="2"/>
  <c r="BO15" i="2"/>
  <c r="BO14" i="2"/>
  <c r="BO13" i="2"/>
  <c r="BO12" i="2"/>
  <c r="BO11" i="2"/>
  <c r="BO10" i="2"/>
  <c r="BO9" i="2"/>
  <c r="D445" i="2"/>
  <c r="AX435" i="2"/>
  <c r="AY435" i="2"/>
  <c r="AZ435" i="2"/>
  <c r="AS277" i="2"/>
  <c r="AS273" i="2"/>
  <c r="D270" i="2"/>
  <c r="AX260" i="2"/>
  <c r="AY260" i="2"/>
  <c r="AZ260" i="2"/>
  <c r="AS252" i="2"/>
  <c r="AS248" i="2"/>
  <c r="D245" i="2"/>
  <c r="AX235" i="2"/>
  <c r="AY235" i="2"/>
  <c r="AZ235" i="2"/>
  <c r="AS227" i="2"/>
  <c r="AS223" i="2"/>
  <c r="D220" i="2"/>
  <c r="AX210" i="2"/>
  <c r="AY210" i="2"/>
  <c r="AZ210" i="2"/>
  <c r="AS202" i="2"/>
  <c r="AS198" i="2"/>
  <c r="D195" i="2"/>
  <c r="AX185" i="2"/>
  <c r="AY185" i="2"/>
  <c r="AZ185" i="2"/>
  <c r="AS177" i="2"/>
  <c r="AS173" i="2"/>
  <c r="AS127" i="2"/>
  <c r="AS123" i="2"/>
  <c r="AS102" i="2"/>
  <c r="AS98" i="2"/>
  <c r="K95" i="2"/>
  <c r="K70" i="2"/>
  <c r="C51" i="7"/>
  <c r="C52" i="7"/>
  <c r="C53" i="7"/>
  <c r="C54" i="7"/>
  <c r="C55" i="7"/>
  <c r="C56" i="7"/>
  <c r="C57" i="7"/>
  <c r="C58" i="7"/>
  <c r="C59" i="7"/>
  <c r="C60" i="7"/>
  <c r="C61" i="7"/>
  <c r="C62" i="7"/>
  <c r="C63" i="7"/>
  <c r="I68" i="7"/>
  <c r="I71" i="7"/>
  <c r="J73" i="7"/>
  <c r="I84" i="7"/>
  <c r="I85" i="7"/>
  <c r="I87" i="7"/>
  <c r="I88" i="7"/>
  <c r="J90" i="7"/>
  <c r="J91" i="7"/>
  <c r="J92" i="7"/>
  <c r="I100" i="7"/>
  <c r="I101" i="7"/>
  <c r="I116" i="7"/>
  <c r="I117" i="7"/>
  <c r="J120" i="7"/>
  <c r="J121" i="7"/>
  <c r="I132" i="7"/>
  <c r="I134" i="7"/>
  <c r="J137" i="7"/>
  <c r="I149" i="7"/>
  <c r="I150" i="7"/>
  <c r="J152" i="7"/>
  <c r="I165" i="7"/>
  <c r="I166" i="7"/>
  <c r="I167" i="7"/>
  <c r="J169" i="7"/>
  <c r="J170" i="7"/>
  <c r="I212" i="7"/>
  <c r="I213" i="7"/>
  <c r="I260" i="7"/>
  <c r="I246" i="7"/>
  <c r="I248" i="7"/>
  <c r="I250" i="7"/>
  <c r="C49" i="7"/>
  <c r="C50" i="7"/>
  <c r="B63" i="7"/>
  <c r="B62" i="7"/>
  <c r="B60" i="7"/>
  <c r="B59" i="7"/>
  <c r="B58" i="7"/>
  <c r="B61" i="7"/>
  <c r="B57" i="7"/>
  <c r="B56" i="7"/>
  <c r="B55" i="7"/>
  <c r="B54" i="7"/>
  <c r="B53" i="7"/>
  <c r="B52" i="7"/>
  <c r="B51" i="7"/>
  <c r="B50" i="7"/>
  <c r="B49" i="7"/>
  <c r="C17" i="7"/>
  <c r="C18" i="7"/>
  <c r="C19" i="7"/>
  <c r="C20" i="7"/>
  <c r="C21" i="7"/>
  <c r="C22" i="7"/>
  <c r="C23" i="7"/>
  <c r="C24" i="7"/>
  <c r="C25" i="7"/>
  <c r="C26" i="7"/>
  <c r="B26" i="7"/>
  <c r="B25" i="7"/>
  <c r="B24" i="7"/>
  <c r="B23" i="7"/>
  <c r="B22" i="7"/>
  <c r="B21" i="7"/>
  <c r="B20" i="7"/>
  <c r="B19" i="7"/>
  <c r="B18" i="7"/>
  <c r="B17" i="7"/>
  <c r="C31" i="7"/>
  <c r="C32" i="7"/>
  <c r="C33" i="7"/>
  <c r="C34" i="7"/>
  <c r="C35" i="7"/>
  <c r="C36" i="7"/>
  <c r="C37" i="7"/>
  <c r="C38" i="7"/>
  <c r="C39" i="7"/>
  <c r="C40" i="7"/>
  <c r="L60" i="7"/>
  <c r="N60" i="7"/>
  <c r="X60" i="7"/>
  <c r="I60" i="7"/>
  <c r="F53" i="7"/>
  <c r="I53" i="7"/>
  <c r="F55" i="7"/>
  <c r="H55" i="7"/>
  <c r="L55" i="7"/>
  <c r="N55" i="7"/>
  <c r="I55" i="7"/>
  <c r="K55" i="7"/>
  <c r="F57" i="7"/>
  <c r="H57" i="7"/>
  <c r="L57" i="7"/>
  <c r="N57" i="7"/>
  <c r="I57" i="7"/>
  <c r="K57" i="7"/>
  <c r="F59" i="7"/>
  <c r="H59" i="7"/>
  <c r="L59" i="7"/>
  <c r="N59" i="7"/>
  <c r="I59" i="7"/>
  <c r="K59" i="7"/>
  <c r="H63" i="7"/>
  <c r="N63" i="7"/>
  <c r="K63" i="7"/>
  <c r="AM63" i="7"/>
  <c r="AL63" i="7"/>
  <c r="F58" i="7"/>
  <c r="H58" i="7"/>
  <c r="L58" i="7"/>
  <c r="N58" i="7"/>
  <c r="I58" i="7"/>
  <c r="K58" i="7"/>
  <c r="H62" i="7"/>
  <c r="N62" i="7"/>
  <c r="K62" i="7"/>
  <c r="AM62" i="7"/>
  <c r="AL62" i="7"/>
  <c r="K60" i="7"/>
  <c r="F60" i="7"/>
  <c r="H60" i="7"/>
  <c r="AL60" i="7"/>
  <c r="X62" i="7"/>
  <c r="E60" i="7"/>
  <c r="Q260" i="7"/>
  <c r="N258" i="7"/>
  <c r="H258" i="7"/>
  <c r="C258" i="7"/>
  <c r="N257" i="7"/>
  <c r="M257" i="7"/>
  <c r="L257" i="7"/>
  <c r="K257" i="7"/>
  <c r="J257" i="7"/>
  <c r="I257" i="7"/>
  <c r="H257" i="7"/>
  <c r="G257" i="7"/>
  <c r="F257" i="7"/>
  <c r="E257" i="7"/>
  <c r="D257" i="7"/>
  <c r="N12" i="4"/>
  <c r="N13" i="4"/>
  <c r="N15" i="4"/>
  <c r="N16" i="4"/>
  <c r="N17" i="4"/>
  <c r="N18" i="4"/>
  <c r="N19" i="4"/>
  <c r="N20" i="4"/>
  <c r="N21" i="4"/>
  <c r="N22" i="4"/>
  <c r="N23" i="4"/>
  <c r="N24" i="4"/>
  <c r="N25" i="4"/>
  <c r="N26" i="4"/>
  <c r="N27" i="4"/>
  <c r="N28" i="4"/>
  <c r="N29" i="4"/>
  <c r="N31" i="4"/>
  <c r="N32" i="4"/>
  <c r="N33" i="4"/>
  <c r="N34" i="4"/>
  <c r="N35" i="4"/>
  <c r="N36" i="4"/>
  <c r="N37" i="4"/>
  <c r="N38" i="4"/>
  <c r="N39" i="4"/>
  <c r="N40" i="4"/>
  <c r="N41" i="4"/>
  <c r="N42" i="4"/>
  <c r="N43" i="4"/>
  <c r="N44" i="4"/>
  <c r="N45" i="4"/>
  <c r="N46" i="4"/>
  <c r="N47" i="4"/>
  <c r="N48" i="4"/>
  <c r="N49" i="4"/>
  <c r="N50" i="4"/>
  <c r="N51" i="4"/>
  <c r="N52" i="4"/>
  <c r="N53" i="4"/>
  <c r="N55" i="4"/>
  <c r="N56" i="4"/>
  <c r="N57" i="4"/>
  <c r="N58" i="4"/>
  <c r="N59" i="4"/>
  <c r="N60" i="4"/>
  <c r="N61" i="4"/>
  <c r="N71" i="4"/>
  <c r="N72" i="4"/>
  <c r="N73" i="4"/>
  <c r="N74" i="4"/>
  <c r="N75" i="4"/>
  <c r="N76" i="4"/>
  <c r="N77" i="4"/>
  <c r="N78" i="4"/>
  <c r="N79" i="4"/>
  <c r="N80" i="4"/>
  <c r="N81" i="4"/>
  <c r="N82" i="4"/>
  <c r="N83" i="4"/>
  <c r="N84" i="4"/>
  <c r="N85" i="4"/>
  <c r="N86" i="4"/>
  <c r="N87" i="4"/>
  <c r="N88" i="4"/>
  <c r="N89" i="4"/>
  <c r="N90" i="4"/>
  <c r="N91" i="4"/>
  <c r="N92" i="4"/>
  <c r="N93" i="4"/>
  <c r="N95" i="4"/>
  <c r="N97" i="4"/>
  <c r="N99" i="4"/>
  <c r="N100" i="4"/>
  <c r="N101" i="4"/>
  <c r="N102" i="4"/>
  <c r="N103" i="4"/>
  <c r="N104" i="4"/>
  <c r="N105" i="4"/>
  <c r="N106" i="4"/>
  <c r="N107" i="4"/>
  <c r="N108" i="4"/>
  <c r="N109" i="4"/>
  <c r="N110" i="4"/>
  <c r="N210" i="7"/>
  <c r="H210" i="7"/>
  <c r="C210" i="7"/>
  <c r="N209" i="7"/>
  <c r="M209" i="7"/>
  <c r="L209" i="7"/>
  <c r="K209" i="7"/>
  <c r="J209" i="7"/>
  <c r="I209" i="7"/>
  <c r="H209" i="7"/>
  <c r="G209" i="7"/>
  <c r="F209" i="7"/>
  <c r="E209" i="7"/>
  <c r="D209" i="7"/>
  <c r="AL61" i="7"/>
  <c r="F51" i="7"/>
  <c r="H51" i="7"/>
  <c r="L51" i="7"/>
  <c r="N51" i="7"/>
  <c r="I51" i="7"/>
  <c r="K51" i="7"/>
  <c r="X51" i="7"/>
  <c r="AL51" i="7"/>
  <c r="E51" i="7"/>
  <c r="N98" i="7"/>
  <c r="H98" i="7"/>
  <c r="C98" i="7"/>
  <c r="N97" i="7"/>
  <c r="M97" i="7"/>
  <c r="L97" i="7"/>
  <c r="K97" i="7"/>
  <c r="J97" i="7"/>
  <c r="I97" i="7"/>
  <c r="H97" i="7"/>
  <c r="G97" i="7"/>
  <c r="F97" i="7"/>
  <c r="E97" i="7"/>
  <c r="D97" i="7"/>
  <c r="X50" i="7"/>
  <c r="X59" i="7"/>
  <c r="E59" i="7"/>
  <c r="X58" i="7"/>
  <c r="E58" i="7"/>
  <c r="AL59" i="7"/>
  <c r="Q244" i="7"/>
  <c r="N242" i="7"/>
  <c r="H242" i="7"/>
  <c r="C242" i="7"/>
  <c r="N241" i="7"/>
  <c r="M241" i="7"/>
  <c r="L241" i="7"/>
  <c r="K241" i="7"/>
  <c r="J241" i="7"/>
  <c r="I241" i="7"/>
  <c r="H241" i="7"/>
  <c r="G241" i="7"/>
  <c r="F241" i="7"/>
  <c r="E241" i="7"/>
  <c r="D241" i="7"/>
  <c r="Q228" i="7"/>
  <c r="N226" i="7"/>
  <c r="H226" i="7"/>
  <c r="C226" i="7"/>
  <c r="N225" i="7"/>
  <c r="M225" i="7"/>
  <c r="L225" i="7"/>
  <c r="K225" i="7"/>
  <c r="J225" i="7"/>
  <c r="I225" i="7"/>
  <c r="H225" i="7"/>
  <c r="G225" i="7"/>
  <c r="F225" i="7"/>
  <c r="E225" i="7"/>
  <c r="D225" i="7"/>
  <c r="X57" i="7"/>
  <c r="E57" i="7"/>
  <c r="X56" i="7"/>
  <c r="E56" i="7"/>
  <c r="X55" i="7"/>
  <c r="E55" i="7"/>
  <c r="E54" i="7"/>
  <c r="Q180" i="7"/>
  <c r="N194" i="7"/>
  <c r="H194" i="7"/>
  <c r="C194" i="7"/>
  <c r="N193" i="7"/>
  <c r="M193" i="7"/>
  <c r="L193" i="7"/>
  <c r="K193" i="7"/>
  <c r="J193" i="7"/>
  <c r="I193" i="7"/>
  <c r="H193" i="7"/>
  <c r="G193" i="7"/>
  <c r="F193" i="7"/>
  <c r="E193" i="7"/>
  <c r="D193" i="7"/>
  <c r="N178" i="7"/>
  <c r="H178" i="7"/>
  <c r="C178" i="7"/>
  <c r="N177" i="7"/>
  <c r="M177" i="7"/>
  <c r="L177" i="7"/>
  <c r="K177" i="7"/>
  <c r="J177" i="7"/>
  <c r="I177" i="7"/>
  <c r="H177" i="7"/>
  <c r="G177" i="7"/>
  <c r="F177" i="7"/>
  <c r="E177" i="7"/>
  <c r="D177" i="7"/>
  <c r="N162" i="7"/>
  <c r="H162" i="7"/>
  <c r="C162" i="7"/>
  <c r="N161" i="7"/>
  <c r="M161" i="7"/>
  <c r="L161" i="7"/>
  <c r="K161" i="7"/>
  <c r="J161" i="7"/>
  <c r="I161" i="7"/>
  <c r="H161" i="7"/>
  <c r="G161" i="7"/>
  <c r="F161" i="7"/>
  <c r="E161" i="7"/>
  <c r="D161" i="7"/>
  <c r="N146" i="7"/>
  <c r="H146" i="7"/>
  <c r="C146" i="7"/>
  <c r="N145" i="7"/>
  <c r="M145" i="7"/>
  <c r="L145" i="7"/>
  <c r="K145" i="7"/>
  <c r="J145" i="7"/>
  <c r="I145" i="7"/>
  <c r="H145" i="7"/>
  <c r="G145" i="7"/>
  <c r="F145" i="7"/>
  <c r="E145" i="7"/>
  <c r="D145" i="7"/>
  <c r="K129" i="7"/>
  <c r="X52" i="7"/>
  <c r="K113" i="7"/>
  <c r="K81" i="7"/>
  <c r="K65" i="7"/>
  <c r="X63" i="7"/>
  <c r="M81" i="7"/>
  <c r="L81" i="7"/>
  <c r="AD8" i="4"/>
  <c r="D1" i="5"/>
  <c r="C1" i="5"/>
  <c r="L8" i="4"/>
  <c r="K8" i="4"/>
  <c r="E53" i="7"/>
  <c r="N130" i="7"/>
  <c r="H130" i="7"/>
  <c r="C130" i="7"/>
  <c r="N129" i="7"/>
  <c r="M129" i="7"/>
  <c r="L129" i="7"/>
  <c r="J129" i="7"/>
  <c r="I129" i="7"/>
  <c r="H129" i="7"/>
  <c r="G129" i="7"/>
  <c r="F129" i="7"/>
  <c r="E129" i="7"/>
  <c r="D129" i="7"/>
  <c r="E52" i="7"/>
  <c r="N114" i="7"/>
  <c r="H114" i="7"/>
  <c r="C114" i="7"/>
  <c r="N113" i="7"/>
  <c r="M113" i="7"/>
  <c r="L113" i="7"/>
  <c r="J113" i="7"/>
  <c r="I113" i="7"/>
  <c r="H113" i="7"/>
  <c r="G113" i="7"/>
  <c r="F113" i="7"/>
  <c r="E113" i="7"/>
  <c r="D113" i="7"/>
  <c r="C66" i="7"/>
  <c r="C82" i="7"/>
  <c r="E50" i="7"/>
  <c r="N82" i="7"/>
  <c r="H82" i="7"/>
  <c r="N81" i="7"/>
  <c r="J81" i="7"/>
  <c r="I81" i="7"/>
  <c r="H81" i="7"/>
  <c r="G81" i="7"/>
  <c r="F81" i="7"/>
  <c r="E81" i="7"/>
  <c r="D81" i="7"/>
  <c r="J28" i="7"/>
  <c r="J34" i="7"/>
  <c r="J35" i="7"/>
  <c r="E49" i="7"/>
  <c r="M28" i="7"/>
  <c r="M35" i="7"/>
  <c r="N66" i="7"/>
  <c r="H66" i="7"/>
  <c r="N65" i="7"/>
  <c r="M65" i="7"/>
  <c r="L65" i="7"/>
  <c r="J65" i="7"/>
  <c r="I65" i="7"/>
  <c r="H65" i="7"/>
  <c r="G65" i="7"/>
  <c r="F65" i="7"/>
  <c r="E65" i="7"/>
  <c r="D65" i="7"/>
  <c r="AL58" i="7"/>
  <c r="AL57" i="7"/>
  <c r="AL56" i="7"/>
  <c r="L34" i="7"/>
  <c r="L28" i="7"/>
  <c r="K28" i="7"/>
  <c r="AL55" i="7"/>
  <c r="AL54" i="7"/>
  <c r="AL53" i="7"/>
  <c r="AL52" i="7"/>
  <c r="AL50" i="7"/>
  <c r="L35" i="7"/>
  <c r="K35" i="7"/>
  <c r="AL49" i="7"/>
  <c r="AJ47" i="7"/>
  <c r="AI47" i="7"/>
  <c r="AH47" i="7"/>
  <c r="AE47" i="7"/>
  <c r="AD47" i="7"/>
  <c r="AC47" i="7"/>
  <c r="AL26" i="7"/>
  <c r="AL25" i="7"/>
  <c r="AL24" i="7"/>
  <c r="AL23" i="7"/>
  <c r="AL22" i="7"/>
  <c r="AL21" i="7"/>
  <c r="AL20" i="7"/>
  <c r="AL19" i="7"/>
  <c r="AL18" i="7"/>
  <c r="AL17" i="7"/>
  <c r="H26" i="7"/>
  <c r="H25" i="7"/>
  <c r="H24" i="7"/>
  <c r="H23" i="7"/>
  <c r="H22" i="7"/>
  <c r="H21" i="7"/>
  <c r="H20" i="7"/>
  <c r="H19" i="7"/>
  <c r="H18" i="7"/>
  <c r="H17" i="7"/>
  <c r="L26" i="7"/>
  <c r="K26" i="7"/>
  <c r="J26" i="7"/>
  <c r="I35" i="7"/>
  <c r="L25" i="7"/>
  <c r="L24" i="7"/>
  <c r="L23" i="7"/>
  <c r="L22" i="7"/>
  <c r="L21" i="7"/>
  <c r="L20" i="7"/>
  <c r="L19" i="7"/>
  <c r="L18" i="7"/>
  <c r="L17" i="7"/>
  <c r="K25" i="7"/>
  <c r="K24" i="7"/>
  <c r="K23" i="7"/>
  <c r="K22" i="7"/>
  <c r="K21" i="7"/>
  <c r="K20" i="7"/>
  <c r="K19" i="7"/>
  <c r="K18" i="7"/>
  <c r="K17" i="7"/>
  <c r="J25" i="7"/>
  <c r="J24" i="7"/>
  <c r="J23" i="7"/>
  <c r="J22" i="7"/>
  <c r="J21" i="7"/>
  <c r="J20" i="7"/>
  <c r="J19" i="7"/>
  <c r="J18" i="7"/>
  <c r="J17" i="7"/>
  <c r="AJ14" i="7"/>
  <c r="AI14" i="7"/>
  <c r="AH14" i="7"/>
  <c r="AE14" i="7"/>
  <c r="AD14" i="7"/>
  <c r="AC14" i="7"/>
  <c r="F5" i="7"/>
  <c r="P28" i="7"/>
  <c r="I28" i="7"/>
  <c r="H28" i="7"/>
  <c r="G28" i="7"/>
  <c r="F28" i="7"/>
  <c r="E28" i="7"/>
  <c r="P29" i="7"/>
  <c r="I34" i="7"/>
  <c r="H29" i="7"/>
  <c r="Z486" i="2"/>
  <c r="Z485" i="2"/>
  <c r="Z461" i="2"/>
  <c r="Z460" i="2"/>
  <c r="Z436" i="2"/>
  <c r="Z435" i="2"/>
  <c r="Z286" i="2"/>
  <c r="Z285" i="2"/>
  <c r="Z261" i="2"/>
  <c r="Z260" i="2"/>
  <c r="Z236" i="2"/>
  <c r="Z235" i="2"/>
  <c r="Z211" i="2"/>
  <c r="Z210" i="2"/>
  <c r="Z186" i="2"/>
  <c r="Z185" i="2"/>
  <c r="Z161" i="2"/>
  <c r="Z160" i="2"/>
  <c r="Z136" i="2"/>
  <c r="Z135" i="2"/>
  <c r="Z111" i="2"/>
  <c r="Z110" i="2"/>
  <c r="Z86" i="2"/>
  <c r="Z85" i="2"/>
  <c r="Z61" i="2"/>
  <c r="Z60" i="2"/>
  <c r="O8" i="4"/>
  <c r="N8" i="4"/>
  <c r="BG35" i="2"/>
  <c r="BH35" i="2"/>
  <c r="BI35" i="2"/>
  <c r="AG46" i="2"/>
  <c r="AF46" i="2"/>
  <c r="AE46" i="2"/>
  <c r="AM37" i="2"/>
  <c r="AO37" i="2"/>
  <c r="AM38" i="2"/>
  <c r="AO38" i="2"/>
  <c r="AM39" i="2"/>
  <c r="AO39" i="2"/>
  <c r="AM40" i="2"/>
  <c r="AO40" i="2"/>
  <c r="AM41" i="2"/>
  <c r="AO41" i="2"/>
  <c r="G9" i="4"/>
  <c r="W485" i="2"/>
  <c r="T485" i="2"/>
  <c r="R485" i="2"/>
  <c r="P485" i="2"/>
  <c r="M485" i="2"/>
  <c r="K485" i="2"/>
  <c r="J485" i="2"/>
  <c r="I485" i="2"/>
  <c r="F485" i="2"/>
  <c r="D485" i="2"/>
  <c r="W460" i="2"/>
  <c r="T460" i="2"/>
  <c r="R460" i="2"/>
  <c r="P460" i="2"/>
  <c r="M460" i="2"/>
  <c r="K460" i="2"/>
  <c r="I460" i="2"/>
  <c r="F460" i="2"/>
  <c r="D460" i="2"/>
  <c r="W435" i="2"/>
  <c r="T435" i="2"/>
  <c r="R435" i="2"/>
  <c r="P435" i="2"/>
  <c r="M435" i="2"/>
  <c r="K435" i="2"/>
  <c r="J435" i="2"/>
  <c r="I435" i="2"/>
  <c r="F435" i="2"/>
  <c r="D435" i="2"/>
  <c r="W285" i="2"/>
  <c r="T285" i="2"/>
  <c r="R285" i="2"/>
  <c r="P285" i="2"/>
  <c r="M285" i="2"/>
  <c r="K285" i="2"/>
  <c r="I285" i="2"/>
  <c r="F285" i="2"/>
  <c r="D285" i="2"/>
  <c r="W260" i="2"/>
  <c r="T260" i="2"/>
  <c r="R260" i="2"/>
  <c r="P260" i="2"/>
  <c r="M260" i="2"/>
  <c r="K260" i="2"/>
  <c r="J260" i="2"/>
  <c r="I260" i="2"/>
  <c r="F260" i="2"/>
  <c r="D260" i="2"/>
  <c r="W235" i="2"/>
  <c r="T235" i="2"/>
  <c r="R235" i="2"/>
  <c r="P235" i="2"/>
  <c r="M235" i="2"/>
  <c r="K235" i="2"/>
  <c r="I235" i="2"/>
  <c r="F235" i="2"/>
  <c r="D235" i="2"/>
  <c r="W210" i="2"/>
  <c r="T210" i="2"/>
  <c r="R210" i="2"/>
  <c r="P210" i="2"/>
  <c r="M210" i="2"/>
  <c r="K210" i="2"/>
  <c r="J210" i="2"/>
  <c r="I210" i="2"/>
  <c r="F210" i="2"/>
  <c r="D210" i="2"/>
  <c r="W185" i="2"/>
  <c r="T185" i="2"/>
  <c r="R185" i="2"/>
  <c r="P185" i="2"/>
  <c r="M185" i="2"/>
  <c r="K185" i="2"/>
  <c r="I185" i="2"/>
  <c r="F185" i="2"/>
  <c r="D185" i="2"/>
  <c r="W160" i="2"/>
  <c r="T160" i="2"/>
  <c r="R160" i="2"/>
  <c r="P160" i="2"/>
  <c r="M160" i="2"/>
  <c r="K160" i="2"/>
  <c r="J160" i="2"/>
  <c r="I160" i="2"/>
  <c r="F160" i="2"/>
  <c r="D160" i="2"/>
  <c r="W135" i="2"/>
  <c r="T135" i="2"/>
  <c r="R135" i="2"/>
  <c r="P135" i="2"/>
  <c r="M135" i="2"/>
  <c r="K135" i="2"/>
  <c r="I135" i="2"/>
  <c r="F135" i="2"/>
  <c r="D135" i="2"/>
  <c r="W110" i="2"/>
  <c r="T110" i="2"/>
  <c r="R110" i="2"/>
  <c r="P110" i="2"/>
  <c r="M110" i="2"/>
  <c r="K110" i="2"/>
  <c r="J110" i="2"/>
  <c r="I110" i="2"/>
  <c r="F110" i="2"/>
  <c r="D110" i="2"/>
  <c r="W85" i="2"/>
  <c r="T85" i="2"/>
  <c r="R85" i="2"/>
  <c r="P85" i="2"/>
  <c r="M85" i="2"/>
  <c r="K85" i="2"/>
  <c r="I85" i="2"/>
  <c r="F85" i="2"/>
  <c r="D85" i="2"/>
  <c r="W60" i="2"/>
  <c r="T60" i="2"/>
  <c r="R60" i="2"/>
  <c r="P60" i="2"/>
  <c r="M60" i="2"/>
  <c r="K60" i="2"/>
  <c r="J60" i="2"/>
  <c r="I60" i="2"/>
  <c r="F60" i="2"/>
  <c r="D60" i="2"/>
  <c r="D8" i="4"/>
  <c r="AS502" i="2"/>
  <c r="AS501" i="2"/>
  <c r="AS500" i="2"/>
  <c r="AS499" i="2"/>
  <c r="AS498" i="2"/>
  <c r="AG496" i="2"/>
  <c r="AF496" i="2"/>
  <c r="AE496" i="2"/>
  <c r="Z496" i="2"/>
  <c r="D495" i="2"/>
  <c r="AX485" i="2"/>
  <c r="AM487" i="2"/>
  <c r="AM488" i="2"/>
  <c r="AM489" i="2"/>
  <c r="AM490" i="2"/>
  <c r="AM491" i="2"/>
  <c r="AM492" i="2"/>
  <c r="AM493" i="2"/>
  <c r="AM494" i="2"/>
  <c r="AY485" i="2"/>
  <c r="BH485" i="2"/>
  <c r="AN487" i="2"/>
  <c r="AN488" i="2"/>
  <c r="AN489" i="2"/>
  <c r="AN490" i="2"/>
  <c r="AN491" i="2"/>
  <c r="AN492" i="2"/>
  <c r="AN493" i="2"/>
  <c r="AN494" i="2"/>
  <c r="AO487" i="2"/>
  <c r="AO488" i="2"/>
  <c r="AO489" i="2"/>
  <c r="AO490" i="2"/>
  <c r="AO491" i="2"/>
  <c r="AO492" i="2"/>
  <c r="AO493" i="2"/>
  <c r="AO494" i="2"/>
  <c r="AZ485" i="2"/>
  <c r="BI485" i="2"/>
  <c r="BG485" i="2"/>
  <c r="BJ485" i="2"/>
  <c r="AS477" i="2"/>
  <c r="AS476" i="2"/>
  <c r="AS475" i="2"/>
  <c r="AS474" i="2"/>
  <c r="AS473" i="2"/>
  <c r="AG471" i="2"/>
  <c r="AF471" i="2"/>
  <c r="AE471" i="2"/>
  <c r="AM462" i="2"/>
  <c r="AM463" i="2"/>
  <c r="AM464" i="2"/>
  <c r="AM465" i="2"/>
  <c r="AM466" i="2"/>
  <c r="AM467" i="2"/>
  <c r="AM468" i="2"/>
  <c r="AM469" i="2"/>
  <c r="Z471" i="2"/>
  <c r="D470" i="2"/>
  <c r="AO462" i="2"/>
  <c r="AO463" i="2"/>
  <c r="AO464" i="2"/>
  <c r="AO465" i="2"/>
  <c r="AO466" i="2"/>
  <c r="AO467" i="2"/>
  <c r="AO468" i="2"/>
  <c r="AO469" i="2"/>
  <c r="AN462" i="2"/>
  <c r="AN463" i="2"/>
  <c r="AN464" i="2"/>
  <c r="AN465" i="2"/>
  <c r="AN466" i="2"/>
  <c r="AN467" i="2"/>
  <c r="AN468" i="2"/>
  <c r="AN469" i="2"/>
  <c r="AZ460" i="2"/>
  <c r="BI460" i="2"/>
  <c r="AY460" i="2"/>
  <c r="AX460" i="2"/>
  <c r="BA460" i="2"/>
  <c r="BG460" i="2"/>
  <c r="BA485" i="2"/>
  <c r="BH460" i="2"/>
  <c r="BJ460" i="2"/>
  <c r="AS451" i="2"/>
  <c r="AS450" i="2"/>
  <c r="AS449" i="2"/>
  <c r="AG446" i="2"/>
  <c r="AF446" i="2"/>
  <c r="AE446" i="2"/>
  <c r="Z446" i="2"/>
  <c r="AO437" i="2"/>
  <c r="AO438" i="2"/>
  <c r="AO439" i="2"/>
  <c r="AO440" i="2"/>
  <c r="AO441" i="2"/>
  <c r="AO442" i="2"/>
  <c r="AO443" i="2"/>
  <c r="AO444" i="2"/>
  <c r="AN437" i="2"/>
  <c r="AN438" i="2"/>
  <c r="AN439" i="2"/>
  <c r="AN440" i="2"/>
  <c r="AN441" i="2"/>
  <c r="AN442" i="2"/>
  <c r="AN443" i="2"/>
  <c r="AN444" i="2"/>
  <c r="AM437" i="2"/>
  <c r="AM438" i="2"/>
  <c r="AM439" i="2"/>
  <c r="AM440" i="2"/>
  <c r="AM441" i="2"/>
  <c r="AM442" i="2"/>
  <c r="AM443" i="2"/>
  <c r="AM444" i="2"/>
  <c r="BI435" i="2"/>
  <c r="BH435" i="2"/>
  <c r="BG435" i="2"/>
  <c r="BJ435" i="2"/>
  <c r="AS301" i="2"/>
  <c r="AS300" i="2"/>
  <c r="AS299" i="2"/>
  <c r="AG296" i="2"/>
  <c r="AF296" i="2"/>
  <c r="AE296" i="2"/>
  <c r="Z296" i="2"/>
  <c r="AO287" i="2"/>
  <c r="AO288" i="2"/>
  <c r="AO289" i="2"/>
  <c r="AO290" i="2"/>
  <c r="AO291" i="2"/>
  <c r="AO292" i="2"/>
  <c r="AO293" i="2"/>
  <c r="AO294" i="2"/>
  <c r="AN287" i="2"/>
  <c r="AN288" i="2"/>
  <c r="AN289" i="2"/>
  <c r="AN290" i="2"/>
  <c r="AN291" i="2"/>
  <c r="AN292" i="2"/>
  <c r="AN293" i="2"/>
  <c r="AN294" i="2"/>
  <c r="AM287" i="2"/>
  <c r="AM288" i="2"/>
  <c r="BH285" i="2"/>
  <c r="BI285" i="2"/>
  <c r="BG285" i="2"/>
  <c r="AS276" i="2"/>
  <c r="AS275" i="2"/>
  <c r="AS274" i="2"/>
  <c r="AG271" i="2"/>
  <c r="AF271" i="2"/>
  <c r="AE271" i="2"/>
  <c r="Z271" i="2"/>
  <c r="AO262" i="2"/>
  <c r="AO263" i="2"/>
  <c r="AO264" i="2"/>
  <c r="AO265" i="2"/>
  <c r="AO266" i="2"/>
  <c r="AO267" i="2"/>
  <c r="AO268" i="2"/>
  <c r="AO269" i="2"/>
  <c r="AN262" i="2"/>
  <c r="AN263" i="2"/>
  <c r="AN264" i="2"/>
  <c r="AN265" i="2"/>
  <c r="AN266" i="2"/>
  <c r="AN267" i="2"/>
  <c r="AN268" i="2"/>
  <c r="AN269" i="2"/>
  <c r="AM262" i="2"/>
  <c r="AM263" i="2"/>
  <c r="AM264" i="2"/>
  <c r="AM265" i="2"/>
  <c r="AM266" i="2"/>
  <c r="AM267" i="2"/>
  <c r="AM268" i="2"/>
  <c r="AM269" i="2"/>
  <c r="BI260" i="2"/>
  <c r="BH260" i="2"/>
  <c r="BG260" i="2"/>
  <c r="AS251" i="2"/>
  <c r="AS250" i="2"/>
  <c r="AS249" i="2"/>
  <c r="AG246" i="2"/>
  <c r="AF246" i="2"/>
  <c r="AE246" i="2"/>
  <c r="Z246" i="2"/>
  <c r="AO237" i="2"/>
  <c r="AO238" i="2"/>
  <c r="AO239" i="2"/>
  <c r="AO240" i="2"/>
  <c r="AO241" i="2"/>
  <c r="AO242" i="2"/>
  <c r="AO243" i="2"/>
  <c r="AO244" i="2"/>
  <c r="AN237" i="2"/>
  <c r="AN238" i="2"/>
  <c r="AN239" i="2"/>
  <c r="AN240" i="2"/>
  <c r="AN241" i="2"/>
  <c r="AN242" i="2"/>
  <c r="AN243" i="2"/>
  <c r="AN244" i="2"/>
  <c r="AM237" i="2"/>
  <c r="AM238" i="2"/>
  <c r="AM239" i="2"/>
  <c r="AM240" i="2"/>
  <c r="AM241" i="2"/>
  <c r="AM242" i="2"/>
  <c r="AM243" i="2"/>
  <c r="AM244" i="2"/>
  <c r="BH235" i="2"/>
  <c r="BI235" i="2"/>
  <c r="BG235" i="2"/>
  <c r="AS226" i="2"/>
  <c r="AS225" i="2"/>
  <c r="AS224" i="2"/>
  <c r="AG221" i="2"/>
  <c r="AF221" i="2"/>
  <c r="AE221" i="2"/>
  <c r="Z221" i="2"/>
  <c r="AM212" i="2"/>
  <c r="AM213" i="2"/>
  <c r="AM214" i="2"/>
  <c r="AO212" i="2"/>
  <c r="AO213" i="2"/>
  <c r="AO214" i="2"/>
  <c r="AO215" i="2"/>
  <c r="AO216" i="2"/>
  <c r="AO217" i="2"/>
  <c r="AO218" i="2"/>
  <c r="AO219" i="2"/>
  <c r="AN212" i="2"/>
  <c r="AN213" i="2"/>
  <c r="AN214" i="2"/>
  <c r="AN215" i="2"/>
  <c r="AN216" i="2"/>
  <c r="AN217" i="2"/>
  <c r="AN218" i="2"/>
  <c r="AN219" i="2"/>
  <c r="BI210" i="2"/>
  <c r="BA210" i="2"/>
  <c r="BG210" i="2"/>
  <c r="AS201" i="2"/>
  <c r="AS200" i="2"/>
  <c r="AS199" i="2"/>
  <c r="AG196" i="2"/>
  <c r="AF196" i="2"/>
  <c r="AE196" i="2"/>
  <c r="Z196" i="2"/>
  <c r="AM187" i="2"/>
  <c r="AM188" i="2"/>
  <c r="AM189" i="2"/>
  <c r="AM190" i="2"/>
  <c r="AM191" i="2"/>
  <c r="AM192" i="2"/>
  <c r="AM193" i="2"/>
  <c r="AM194" i="2"/>
  <c r="AO187" i="2"/>
  <c r="AO188" i="2"/>
  <c r="AO189" i="2"/>
  <c r="AO190" i="2"/>
  <c r="AO191" i="2"/>
  <c r="AO192" i="2"/>
  <c r="AO193" i="2"/>
  <c r="AO194" i="2"/>
  <c r="AN187" i="2"/>
  <c r="AN188" i="2"/>
  <c r="AN189" i="2"/>
  <c r="AN190" i="2"/>
  <c r="AN191" i="2"/>
  <c r="AN192" i="2"/>
  <c r="AN193" i="2"/>
  <c r="AN194" i="2"/>
  <c r="BI185" i="2"/>
  <c r="BH185" i="2"/>
  <c r="BG185" i="2"/>
  <c r="AS176" i="2"/>
  <c r="AS175" i="2"/>
  <c r="AS174" i="2"/>
  <c r="AG171" i="2"/>
  <c r="AF171" i="2"/>
  <c r="AE171" i="2"/>
  <c r="Z171" i="2"/>
  <c r="AM162" i="2"/>
  <c r="AM163" i="2"/>
  <c r="AM164" i="2"/>
  <c r="AO162" i="2"/>
  <c r="AO163" i="2"/>
  <c r="AO164" i="2"/>
  <c r="AO165" i="2"/>
  <c r="AO166" i="2"/>
  <c r="AO167" i="2"/>
  <c r="AO168" i="2"/>
  <c r="AO169" i="2"/>
  <c r="AN162" i="2"/>
  <c r="AN163" i="2"/>
  <c r="AN164" i="2"/>
  <c r="AN165" i="2"/>
  <c r="AN166" i="2"/>
  <c r="AN167" i="2"/>
  <c r="AN168" i="2"/>
  <c r="AN169" i="2"/>
  <c r="BI160" i="2"/>
  <c r="BH160" i="2"/>
  <c r="BG160" i="2"/>
  <c r="AS151" i="2"/>
  <c r="AS150" i="2"/>
  <c r="AS149" i="2"/>
  <c r="AG146" i="2"/>
  <c r="AF146" i="2"/>
  <c r="AE146" i="2"/>
  <c r="Z146" i="2"/>
  <c r="AO137" i="2"/>
  <c r="AO138" i="2"/>
  <c r="AO139" i="2"/>
  <c r="AO140" i="2"/>
  <c r="AO141" i="2"/>
  <c r="AO142" i="2"/>
  <c r="AO143" i="2"/>
  <c r="AO144" i="2"/>
  <c r="AN137" i="2"/>
  <c r="AN138" i="2"/>
  <c r="AN139" i="2"/>
  <c r="AN140" i="2"/>
  <c r="AN141" i="2"/>
  <c r="AN142" i="2"/>
  <c r="AN143" i="2"/>
  <c r="AN144" i="2"/>
  <c r="AM137" i="2"/>
  <c r="AM138" i="2"/>
  <c r="AM139" i="2"/>
  <c r="AM140" i="2"/>
  <c r="AM141" i="2"/>
  <c r="AM142" i="2"/>
  <c r="AM143" i="2"/>
  <c r="AM144" i="2"/>
  <c r="BI135" i="2"/>
  <c r="BH135" i="2"/>
  <c r="BG135" i="2"/>
  <c r="AS126" i="2"/>
  <c r="AS125" i="2"/>
  <c r="AS124" i="2"/>
  <c r="AG121" i="2"/>
  <c r="AO112" i="2"/>
  <c r="AO113" i="2"/>
  <c r="AO114" i="2"/>
  <c r="AO115" i="2"/>
  <c r="AO116" i="2"/>
  <c r="AO117" i="2"/>
  <c r="AO118" i="2"/>
  <c r="AO119" i="2"/>
  <c r="AF121" i="2"/>
  <c r="AE121" i="2"/>
  <c r="AM112" i="2"/>
  <c r="AM113" i="2"/>
  <c r="AM114" i="2"/>
  <c r="AM115" i="2"/>
  <c r="AM116" i="2"/>
  <c r="AM117" i="2"/>
  <c r="AM118" i="2"/>
  <c r="AM119" i="2"/>
  <c r="Z121" i="2"/>
  <c r="BG110" i="2"/>
  <c r="AN112" i="2"/>
  <c r="AN113" i="2"/>
  <c r="AN114" i="2"/>
  <c r="AN115" i="2"/>
  <c r="AN116" i="2"/>
  <c r="AN117" i="2"/>
  <c r="AN118" i="2"/>
  <c r="AN119" i="2"/>
  <c r="BH110" i="2"/>
  <c r="AS101" i="2"/>
  <c r="AS100" i="2"/>
  <c r="AS99" i="2"/>
  <c r="AG96" i="2"/>
  <c r="Z96" i="2"/>
  <c r="AF96" i="2"/>
  <c r="AO87" i="2"/>
  <c r="AO88" i="2"/>
  <c r="AO89" i="2"/>
  <c r="AO90" i="2"/>
  <c r="AO91" i="2"/>
  <c r="AO92" i="2"/>
  <c r="AO93" i="2"/>
  <c r="AO94" i="2"/>
  <c r="BI85" i="2"/>
  <c r="BH85" i="2"/>
  <c r="AS76" i="2"/>
  <c r="AS75" i="2"/>
  <c r="AS74" i="2"/>
  <c r="AG71" i="2"/>
  <c r="Z71" i="2"/>
  <c r="AF71" i="2"/>
  <c r="AO62" i="2"/>
  <c r="AO63" i="2"/>
  <c r="AO64" i="2"/>
  <c r="AO65" i="2"/>
  <c r="AO66" i="2"/>
  <c r="AO67" i="2"/>
  <c r="AO68" i="2"/>
  <c r="AO69" i="2"/>
  <c r="BI60" i="2"/>
  <c r="BH60" i="2"/>
  <c r="AS51" i="2"/>
  <c r="AS50" i="2"/>
  <c r="AS49" i="2"/>
  <c r="M41"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O34" i="3"/>
  <c r="N45" i="3" s="1"/>
  <c r="O35" i="3"/>
  <c r="N121" i="3" s="1"/>
  <c r="N170" i="3"/>
  <c r="N166" i="3"/>
  <c r="N162" i="3"/>
  <c r="N158" i="3"/>
  <c r="N154" i="3"/>
  <c r="N150" i="3"/>
  <c r="N146" i="3"/>
  <c r="N143" i="3"/>
  <c r="N142" i="3"/>
  <c r="N139" i="3"/>
  <c r="N138" i="3"/>
  <c r="N135" i="3"/>
  <c r="N134" i="3"/>
  <c r="N131" i="3"/>
  <c r="N130" i="3"/>
  <c r="N127" i="3"/>
  <c r="N126" i="3"/>
  <c r="N123" i="3"/>
  <c r="N122" i="3"/>
  <c r="N119" i="3"/>
  <c r="N118" i="3"/>
  <c r="N115" i="3"/>
  <c r="N114" i="3"/>
  <c r="N111" i="3"/>
  <c r="N110" i="3"/>
  <c r="N107" i="3"/>
  <c r="N106" i="3"/>
  <c r="N103" i="3"/>
  <c r="N102" i="3"/>
  <c r="N99" i="3"/>
  <c r="N98" i="3"/>
  <c r="N95" i="3"/>
  <c r="N94" i="3"/>
  <c r="N91" i="3"/>
  <c r="N90" i="3"/>
  <c r="N87" i="3"/>
  <c r="N86" i="3"/>
  <c r="N83" i="3"/>
  <c r="N82" i="3"/>
  <c r="N79" i="3"/>
  <c r="N78" i="3"/>
  <c r="N75" i="3"/>
  <c r="N74" i="3"/>
  <c r="N71" i="3"/>
  <c r="N70" i="3"/>
  <c r="N67" i="3"/>
  <c r="N66" i="3"/>
  <c r="N63" i="3"/>
  <c r="N41" i="3"/>
  <c r="C41"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E34" i="3"/>
  <c r="D44" i="3" s="1"/>
  <c r="E35" i="3"/>
  <c r="H41"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J34" i="3"/>
  <c r="I60" i="3" s="1"/>
  <c r="J35"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41" i="3"/>
  <c r="I40" i="3"/>
  <c r="O170" i="3"/>
  <c r="O169" i="3"/>
  <c r="O168" i="3"/>
  <c r="O167" i="3"/>
  <c r="O166" i="3"/>
  <c r="O165" i="3"/>
  <c r="O164" i="3"/>
  <c r="O163" i="3"/>
  <c r="O162" i="3"/>
  <c r="O161" i="3"/>
  <c r="O160" i="3"/>
  <c r="O159" i="3"/>
  <c r="O158" i="3"/>
  <c r="O157" i="3"/>
  <c r="O156" i="3"/>
  <c r="O155" i="3"/>
  <c r="O154" i="3"/>
  <c r="O153" i="3"/>
  <c r="O152" i="3"/>
  <c r="O151" i="3"/>
  <c r="O150" i="3"/>
  <c r="O149" i="3"/>
  <c r="O148" i="3"/>
  <c r="O147" i="3"/>
  <c r="O146" i="3"/>
  <c r="O145" i="3"/>
  <c r="O144" i="3"/>
  <c r="O143" i="3"/>
  <c r="O142" i="3"/>
  <c r="O141" i="3"/>
  <c r="O140" i="3"/>
  <c r="O139" i="3"/>
  <c r="O138" i="3"/>
  <c r="O137" i="3"/>
  <c r="O136" i="3"/>
  <c r="O135" i="3"/>
  <c r="O134" i="3"/>
  <c r="O133" i="3"/>
  <c r="O132" i="3"/>
  <c r="O131" i="3"/>
  <c r="O130" i="3"/>
  <c r="O129" i="3"/>
  <c r="O128" i="3"/>
  <c r="O127" i="3"/>
  <c r="O126" i="3"/>
  <c r="O125" i="3"/>
  <c r="O124" i="3"/>
  <c r="O123" i="3"/>
  <c r="O122" i="3"/>
  <c r="O121" i="3"/>
  <c r="O120" i="3"/>
  <c r="O119" i="3"/>
  <c r="O118" i="3"/>
  <c r="O117" i="3"/>
  <c r="O116" i="3"/>
  <c r="O115" i="3"/>
  <c r="O114" i="3"/>
  <c r="O113" i="3"/>
  <c r="O112" i="3"/>
  <c r="O111" i="3"/>
  <c r="O110" i="3"/>
  <c r="O109" i="3"/>
  <c r="O108" i="3"/>
  <c r="O107" i="3"/>
  <c r="O106" i="3"/>
  <c r="O105" i="3"/>
  <c r="O104" i="3"/>
  <c r="O103" i="3"/>
  <c r="O102" i="3"/>
  <c r="O101" i="3"/>
  <c r="O100" i="3"/>
  <c r="O99" i="3"/>
  <c r="O98" i="3"/>
  <c r="O97" i="3"/>
  <c r="O96" i="3"/>
  <c r="O95" i="3"/>
  <c r="O94" i="3"/>
  <c r="O93" i="3"/>
  <c r="O92" i="3"/>
  <c r="O91" i="3"/>
  <c r="O90" i="3"/>
  <c r="O89" i="3"/>
  <c r="O88" i="3"/>
  <c r="O87" i="3"/>
  <c r="O86" i="3"/>
  <c r="O85" i="3"/>
  <c r="O84" i="3"/>
  <c r="O83" i="3"/>
  <c r="O82" i="3"/>
  <c r="O81" i="3"/>
  <c r="O80" i="3"/>
  <c r="O79" i="3"/>
  <c r="O78" i="3"/>
  <c r="O77" i="3"/>
  <c r="O76" i="3"/>
  <c r="O75" i="3"/>
  <c r="O74" i="3"/>
  <c r="O73" i="3"/>
  <c r="O72" i="3"/>
  <c r="O71" i="3"/>
  <c r="O70" i="3"/>
  <c r="O69" i="3"/>
  <c r="O68" i="3"/>
  <c r="O67" i="3"/>
  <c r="O66" i="3"/>
  <c r="O65" i="3"/>
  <c r="O64" i="3"/>
  <c r="O63" i="3"/>
  <c r="O61" i="3"/>
  <c r="O60" i="3"/>
  <c r="O59" i="3"/>
  <c r="O58" i="3"/>
  <c r="O57" i="3"/>
  <c r="O56" i="3"/>
  <c r="O55" i="3"/>
  <c r="O54" i="3"/>
  <c r="O53" i="3"/>
  <c r="O52" i="3"/>
  <c r="O51" i="3"/>
  <c r="O50" i="3"/>
  <c r="O49" i="3"/>
  <c r="O48" i="3"/>
  <c r="O47" i="3"/>
  <c r="O46" i="3"/>
  <c r="O45" i="3"/>
  <c r="O44" i="3"/>
  <c r="O43" i="3"/>
  <c r="O41" i="3"/>
  <c r="O40" i="3"/>
  <c r="J170" i="3"/>
  <c r="J169" i="3"/>
  <c r="J168" i="3"/>
  <c r="J167" i="3"/>
  <c r="J166" i="3"/>
  <c r="J165" i="3"/>
  <c r="J164" i="3"/>
  <c r="J163" i="3"/>
  <c r="J162" i="3"/>
  <c r="J161" i="3"/>
  <c r="J160" i="3"/>
  <c r="J159" i="3"/>
  <c r="J158" i="3"/>
  <c r="J157" i="3"/>
  <c r="J156" i="3"/>
  <c r="J155" i="3"/>
  <c r="J154" i="3"/>
  <c r="J153" i="3"/>
  <c r="J152" i="3"/>
  <c r="J151" i="3"/>
  <c r="J150" i="3"/>
  <c r="J149" i="3"/>
  <c r="J148" i="3"/>
  <c r="J147" i="3"/>
  <c r="J146" i="3"/>
  <c r="J145" i="3"/>
  <c r="J144"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1" i="3"/>
  <c r="J60" i="3"/>
  <c r="J59" i="3"/>
  <c r="J58" i="3"/>
  <c r="J57" i="3"/>
  <c r="J56" i="3"/>
  <c r="J55" i="3"/>
  <c r="J54" i="3"/>
  <c r="J53" i="3"/>
  <c r="J52" i="3"/>
  <c r="J51" i="3"/>
  <c r="J50" i="3"/>
  <c r="J49" i="3"/>
  <c r="J48" i="3"/>
  <c r="J47" i="3"/>
  <c r="J46" i="3"/>
  <c r="J45" i="3"/>
  <c r="J44" i="3"/>
  <c r="J43" i="3"/>
  <c r="J41" i="3"/>
  <c r="J40"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1" i="3"/>
  <c r="E60" i="3"/>
  <c r="E59" i="3"/>
  <c r="E58" i="3"/>
  <c r="E57" i="3"/>
  <c r="E56" i="3"/>
  <c r="E55" i="3"/>
  <c r="E54" i="3"/>
  <c r="E53" i="3"/>
  <c r="E52" i="3"/>
  <c r="E51" i="3"/>
  <c r="E50" i="3"/>
  <c r="E49" i="3"/>
  <c r="E48" i="3"/>
  <c r="E47" i="3"/>
  <c r="E46" i="3"/>
  <c r="E45" i="3"/>
  <c r="E44" i="3"/>
  <c r="E43" i="3"/>
  <c r="E41" i="3"/>
  <c r="E40" i="3"/>
  <c r="C166" i="3"/>
  <c r="C167" i="3"/>
  <c r="C11" i="3"/>
  <c r="C12" i="3"/>
  <c r="B13" i="3"/>
  <c r="C13" i="3"/>
  <c r="B14" i="3"/>
  <c r="C14" i="3"/>
  <c r="B12" i="3"/>
  <c r="B15" i="3"/>
  <c r="B16" i="3"/>
  <c r="B17" i="3"/>
  <c r="B18" i="3"/>
  <c r="B19" i="3"/>
  <c r="B20" i="3"/>
  <c r="B21" i="3"/>
  <c r="B22" i="3"/>
  <c r="B23" i="3"/>
  <c r="B24" i="3"/>
  <c r="B25" i="3"/>
  <c r="B26" i="3"/>
  <c r="B27" i="3"/>
  <c r="B28" i="3"/>
  <c r="B29" i="3"/>
  <c r="B30" i="3"/>
  <c r="C30" i="3"/>
  <c r="D45" i="1"/>
  <c r="I8" i="4"/>
  <c r="W8" i="4"/>
  <c r="V8" i="4"/>
  <c r="AC8" i="4"/>
  <c r="AB8" i="4"/>
  <c r="AA8" i="4"/>
  <c r="Z8" i="4"/>
  <c r="Y8" i="4"/>
  <c r="X8" i="4"/>
  <c r="U8" i="4"/>
  <c r="T8" i="4"/>
  <c r="S8" i="4"/>
  <c r="R8" i="4"/>
  <c r="Q8" i="4"/>
  <c r="P8" i="4"/>
  <c r="M8" i="4"/>
  <c r="J8" i="4"/>
  <c r="C8" i="4"/>
  <c r="BA435" i="2"/>
  <c r="AM289" i="2"/>
  <c r="BJ285" i="2"/>
  <c r="BA285" i="2"/>
  <c r="BJ260" i="2"/>
  <c r="BA260" i="2"/>
  <c r="BJ235" i="2"/>
  <c r="BA235" i="2"/>
  <c r="AM215" i="2"/>
  <c r="BH210" i="2"/>
  <c r="BJ185" i="2"/>
  <c r="BA185" i="2"/>
  <c r="AM165" i="2"/>
  <c r="BJ160" i="2"/>
  <c r="BA160" i="2"/>
  <c r="BJ135" i="2"/>
  <c r="BA135" i="2"/>
  <c r="BA110" i="2"/>
  <c r="BI110" i="2"/>
  <c r="BJ110" i="2"/>
  <c r="AE96" i="2"/>
  <c r="AM87" i="2"/>
  <c r="AM88" i="2"/>
  <c r="AM89" i="2"/>
  <c r="AM90" i="2"/>
  <c r="AM91" i="2"/>
  <c r="AM92" i="2"/>
  <c r="AM93" i="2"/>
  <c r="AM94" i="2"/>
  <c r="AN87" i="2"/>
  <c r="AN88" i="2"/>
  <c r="AN89" i="2"/>
  <c r="AN90" i="2"/>
  <c r="AN91" i="2"/>
  <c r="AN92" i="2"/>
  <c r="AN93" i="2"/>
  <c r="AN94" i="2"/>
  <c r="AE71" i="2"/>
  <c r="AM62" i="2"/>
  <c r="AM63" i="2"/>
  <c r="AM64" i="2"/>
  <c r="AM65" i="2"/>
  <c r="AM66" i="2"/>
  <c r="AM67" i="2"/>
  <c r="AM68" i="2"/>
  <c r="AM69" i="2"/>
  <c r="AN62" i="2"/>
  <c r="AN63" i="2"/>
  <c r="AN64" i="2"/>
  <c r="AN65" i="2"/>
  <c r="AN66" i="2"/>
  <c r="AN67" i="2"/>
  <c r="AN68" i="2"/>
  <c r="AN69" i="2"/>
  <c r="C168" i="3"/>
  <c r="C169" i="3"/>
  <c r="C170" i="3"/>
  <c r="C18" i="3"/>
  <c r="C22" i="3"/>
  <c r="C26" i="3"/>
  <c r="C15" i="3"/>
  <c r="C19" i="3"/>
  <c r="C23" i="3"/>
  <c r="C27" i="3"/>
  <c r="C16" i="3"/>
  <c r="C20" i="3"/>
  <c r="C24" i="3"/>
  <c r="C28" i="3"/>
  <c r="C17" i="3"/>
  <c r="C21" i="3"/>
  <c r="C25" i="3"/>
  <c r="C29" i="3"/>
  <c r="AM290" i="2"/>
  <c r="AM291" i="2"/>
  <c r="AM292" i="2"/>
  <c r="AM293" i="2"/>
  <c r="AM294" i="2"/>
  <c r="AM216" i="2"/>
  <c r="BJ210" i="2"/>
  <c r="AM166" i="2"/>
  <c r="BG85" i="2"/>
  <c r="BA85" i="2"/>
  <c r="BG60" i="2"/>
  <c r="BA60" i="2"/>
  <c r="AM217" i="2"/>
  <c r="AM218" i="2"/>
  <c r="AM219" i="2"/>
  <c r="AM167" i="2"/>
  <c r="AM168" i="2"/>
  <c r="AM169" i="2"/>
  <c r="BJ85" i="2"/>
  <c r="BJ60" i="2"/>
  <c r="BA35" i="2"/>
  <c r="AO42" i="2"/>
  <c r="AO43" i="2"/>
  <c r="AO44" i="2"/>
  <c r="Z46" i="2"/>
  <c r="BJ35" i="2"/>
  <c r="AN37" i="2"/>
  <c r="AN38" i="2"/>
  <c r="AN39" i="2"/>
  <c r="AN40" i="2"/>
  <c r="AN41" i="2"/>
  <c r="AN42" i="2"/>
  <c r="AN43" i="2"/>
  <c r="AN44" i="2"/>
  <c r="AM42" i="2"/>
  <c r="AM43" i="2"/>
  <c r="AM44" i="2"/>
  <c r="D69" i="1"/>
  <c r="G78" i="1"/>
  <c r="G79" i="1"/>
  <c r="G80" i="1"/>
  <c r="G81" i="1"/>
  <c r="I81" i="1"/>
  <c r="G83" i="1"/>
  <c r="G84" i="1"/>
  <c r="G85" i="1"/>
  <c r="G86" i="1"/>
  <c r="I86" i="1"/>
  <c r="G87" i="1"/>
  <c r="G88" i="1"/>
  <c r="G89" i="1"/>
  <c r="G90" i="1"/>
  <c r="I90" i="1"/>
  <c r="E90" i="1"/>
  <c r="E89" i="1"/>
  <c r="E88" i="1"/>
  <c r="I87" i="1"/>
  <c r="E87" i="1"/>
  <c r="E86" i="1"/>
  <c r="E85" i="1"/>
  <c r="E84" i="1"/>
  <c r="E83" i="1"/>
  <c r="E82" i="1"/>
  <c r="E81" i="1"/>
  <c r="E80" i="1"/>
  <c r="E79" i="1"/>
  <c r="E78" i="1"/>
  <c r="D64" i="1"/>
  <c r="I89" i="1"/>
  <c r="I85" i="1"/>
  <c r="I80" i="1"/>
  <c r="I88" i="1"/>
  <c r="I84" i="1"/>
  <c r="I79" i="1"/>
  <c r="I83" i="1"/>
  <c r="I78" i="1"/>
  <c r="G82" i="1"/>
  <c r="I82" i="1"/>
  <c r="E42" i="1"/>
  <c r="F12" i="1"/>
  <c r="F11" i="1"/>
  <c r="F10" i="1"/>
  <c r="F9" i="1"/>
  <c r="F8" i="1"/>
  <c r="F16" i="1"/>
  <c r="E14" i="1"/>
  <c r="K16" i="1"/>
  <c r="K15" i="1"/>
  <c r="E16" i="1"/>
  <c r="D40" i="1"/>
  <c r="T79" i="4" l="1"/>
  <c r="T78" i="4"/>
  <c r="Y82" i="4"/>
  <c r="Y73" i="4"/>
  <c r="Y12" i="4"/>
  <c r="Y99" i="4"/>
  <c r="Y37" i="4"/>
  <c r="Y90" i="4"/>
  <c r="X48" i="4"/>
  <c r="T42" i="4"/>
  <c r="V42" i="4" s="1"/>
  <c r="U42" i="4" s="1"/>
  <c r="T95" i="4"/>
  <c r="F42" i="4"/>
  <c r="AA33" i="4"/>
  <c r="AA24" i="4"/>
  <c r="AB11" i="4"/>
  <c r="AB12" i="4"/>
  <c r="AB13" i="4"/>
  <c r="AB14" i="4"/>
  <c r="AB19" i="4"/>
  <c r="AB23" i="4"/>
  <c r="AB27" i="4"/>
  <c r="AB32" i="4"/>
  <c r="AB37" i="4"/>
  <c r="AB54" i="4"/>
  <c r="AB63" i="4"/>
  <c r="AB65" i="4"/>
  <c r="AB74" i="4"/>
  <c r="AB76" i="4"/>
  <c r="AB78" i="4"/>
  <c r="AB80" i="4"/>
  <c r="AB83" i="4"/>
  <c r="AB85" i="4"/>
  <c r="AB87" i="4"/>
  <c r="AB89" i="4"/>
  <c r="AB91" i="4"/>
  <c r="AB93" i="4"/>
  <c r="AB95" i="4"/>
  <c r="AB98" i="4"/>
  <c r="AB101" i="4"/>
  <c r="Y97" i="4"/>
  <c r="Y88" i="4"/>
  <c r="Y79" i="4"/>
  <c r="Y64" i="4"/>
  <c r="Y30" i="4"/>
  <c r="AA27" i="4"/>
  <c r="AA21" i="4"/>
  <c r="AA15" i="4"/>
  <c r="AB17" i="4"/>
  <c r="AB22" i="4"/>
  <c r="AB26" i="4"/>
  <c r="AB30" i="4"/>
  <c r="AB36" i="4"/>
  <c r="AB39" i="4"/>
  <c r="Q82" i="4"/>
  <c r="S82" i="4" s="1"/>
  <c r="T82" i="4" s="1"/>
  <c r="Q93" i="4"/>
  <c r="S93" i="4" s="1"/>
  <c r="T93" i="4" s="1"/>
  <c r="Y94" i="4"/>
  <c r="Y86" i="4"/>
  <c r="Y77" i="4"/>
  <c r="Y62" i="4"/>
  <c r="AA38" i="4"/>
  <c r="Y32" i="4"/>
  <c r="AB16" i="4"/>
  <c r="AB21" i="4"/>
  <c r="AB25" i="4"/>
  <c r="AB29" i="4"/>
  <c r="AB34" i="4"/>
  <c r="AB62" i="4"/>
  <c r="AB64" i="4"/>
  <c r="AB73" i="4"/>
  <c r="AB75" i="4"/>
  <c r="AB77" i="4"/>
  <c r="AB79" i="4"/>
  <c r="AB82" i="4"/>
  <c r="AB84" i="4"/>
  <c r="AB86" i="4"/>
  <c r="AB88" i="4"/>
  <c r="AB90" i="4"/>
  <c r="AB92" i="4"/>
  <c r="AB94" i="4"/>
  <c r="AB97" i="4"/>
  <c r="Y92" i="4"/>
  <c r="Y84" i="4"/>
  <c r="Y75" i="4"/>
  <c r="Y26" i="4"/>
  <c r="Y20" i="4"/>
  <c r="Y14" i="4"/>
  <c r="V60" i="4"/>
  <c r="U60" i="4" s="1"/>
  <c r="X44" i="4"/>
  <c r="X57" i="4"/>
  <c r="T80" i="4"/>
  <c r="X110" i="4"/>
  <c r="X103" i="4"/>
  <c r="X107" i="4"/>
  <c r="BM38" i="2"/>
  <c r="L54" i="4"/>
  <c r="L11" i="4"/>
  <c r="L62" i="4"/>
  <c r="T36" i="4"/>
  <c r="L13" i="4"/>
  <c r="L17" i="4"/>
  <c r="L21" i="4"/>
  <c r="L25" i="4"/>
  <c r="L29" i="4"/>
  <c r="L33" i="4"/>
  <c r="L37" i="4"/>
  <c r="L63" i="4"/>
  <c r="L75" i="4"/>
  <c r="L79" i="4"/>
  <c r="L83" i="4"/>
  <c r="L87" i="4"/>
  <c r="L91" i="4"/>
  <c r="L95" i="4"/>
  <c r="L99" i="4"/>
  <c r="AC39" i="4"/>
  <c r="AC54" i="4"/>
  <c r="AC101" i="4"/>
  <c r="AC99" i="4"/>
  <c r="AC98" i="4"/>
  <c r="AC97" i="4"/>
  <c r="AC95" i="4"/>
  <c r="AC94" i="4"/>
  <c r="AC93" i="4"/>
  <c r="AC92" i="4"/>
  <c r="AC91" i="4"/>
  <c r="AC90" i="4"/>
  <c r="AC89" i="4"/>
  <c r="AC88" i="4"/>
  <c r="AC87" i="4"/>
  <c r="AC86" i="4"/>
  <c r="AC85" i="4"/>
  <c r="AC84" i="4"/>
  <c r="AC83" i="4"/>
  <c r="AC82" i="4"/>
  <c r="AC80" i="4"/>
  <c r="AC79" i="4"/>
  <c r="AC78" i="4"/>
  <c r="AC77" i="4"/>
  <c r="AC76" i="4"/>
  <c r="AC75" i="4"/>
  <c r="AC74" i="4"/>
  <c r="AC73" i="4"/>
  <c r="AC65" i="4"/>
  <c r="AC64" i="4"/>
  <c r="AC63" i="4"/>
  <c r="AC62" i="4"/>
  <c r="AD54" i="4"/>
  <c r="AD101" i="4"/>
  <c r="AD99" i="4"/>
  <c r="AD98" i="4"/>
  <c r="AD97" i="4"/>
  <c r="AD95" i="4"/>
  <c r="AD94" i="4"/>
  <c r="AD93" i="4"/>
  <c r="AD92" i="4"/>
  <c r="AD91" i="4"/>
  <c r="AD90" i="4"/>
  <c r="AD89" i="4"/>
  <c r="AD88" i="4"/>
  <c r="AD87" i="4"/>
  <c r="AD86" i="4"/>
  <c r="AD85" i="4"/>
  <c r="AD84" i="4"/>
  <c r="AD83" i="4"/>
  <c r="AD82" i="4"/>
  <c r="AD80" i="4"/>
  <c r="AD79" i="4"/>
  <c r="AD78" i="4"/>
  <c r="AD77" i="4"/>
  <c r="AD76" i="4"/>
  <c r="AD75" i="4"/>
  <c r="AD74" i="4"/>
  <c r="AD73" i="4"/>
  <c r="AD65" i="4"/>
  <c r="AD64" i="4"/>
  <c r="AD63" i="4"/>
  <c r="AD62" i="4"/>
  <c r="AD38" i="4"/>
  <c r="AD37" i="4"/>
  <c r="AD36" i="4"/>
  <c r="AD34" i="4"/>
  <c r="AD33" i="4"/>
  <c r="AD32" i="4"/>
  <c r="X32" i="4" s="1"/>
  <c r="G32" i="4" s="1"/>
  <c r="AD30" i="4"/>
  <c r="AD29" i="4"/>
  <c r="X29" i="4" s="1"/>
  <c r="AD28" i="4"/>
  <c r="AD27" i="4"/>
  <c r="AD26" i="4"/>
  <c r="AD25" i="4"/>
  <c r="AD24" i="4"/>
  <c r="AD23" i="4"/>
  <c r="AD22" i="4"/>
  <c r="AD21" i="4"/>
  <c r="AD20" i="4"/>
  <c r="AD19" i="4"/>
  <c r="AD17" i="4"/>
  <c r="AD16" i="4"/>
  <c r="AD15" i="4"/>
  <c r="AD14" i="4"/>
  <c r="L14" i="4"/>
  <c r="L22" i="4"/>
  <c r="L26" i="4"/>
  <c r="L30" i="4"/>
  <c r="L34" i="4"/>
  <c r="L38" i="4"/>
  <c r="L64" i="4"/>
  <c r="L76" i="4"/>
  <c r="L80" i="4"/>
  <c r="L84" i="4"/>
  <c r="L88" i="4"/>
  <c r="L92" i="4"/>
  <c r="AC38" i="4"/>
  <c r="T86" i="4"/>
  <c r="L15" i="4"/>
  <c r="L19" i="4"/>
  <c r="L23" i="4"/>
  <c r="L27" i="4"/>
  <c r="L39" i="4"/>
  <c r="L65" i="4"/>
  <c r="L73" i="4"/>
  <c r="L77" i="4"/>
  <c r="L85" i="4"/>
  <c r="L89" i="4"/>
  <c r="L93" i="4"/>
  <c r="L97" i="4"/>
  <c r="L101" i="4"/>
  <c r="Q11" i="4"/>
  <c r="S11" i="4" s="1"/>
  <c r="T11" i="4" s="1"/>
  <c r="Q63" i="4"/>
  <c r="S63" i="4" s="1"/>
  <c r="C63" i="4" s="1"/>
  <c r="Q90" i="4"/>
  <c r="S90" i="4" s="1"/>
  <c r="T90" i="4" s="1"/>
  <c r="Q97" i="4"/>
  <c r="S97" i="4" s="1"/>
  <c r="T97" i="4" s="1"/>
  <c r="Q62" i="4"/>
  <c r="S62" i="4" s="1"/>
  <c r="C62" i="4" s="1"/>
  <c r="AA101" i="4"/>
  <c r="AA98" i="4"/>
  <c r="AA95" i="4"/>
  <c r="AA93" i="4"/>
  <c r="AA91" i="4"/>
  <c r="AA89" i="4"/>
  <c r="AA87" i="4"/>
  <c r="AA85" i="4"/>
  <c r="AA83" i="4"/>
  <c r="AA80" i="4"/>
  <c r="AA78" i="4"/>
  <c r="AA76" i="4"/>
  <c r="AA74" i="4"/>
  <c r="AA65" i="4"/>
  <c r="AA63" i="4"/>
  <c r="Y38" i="4"/>
  <c r="AA34" i="4"/>
  <c r="Y33" i="4"/>
  <c r="AA28" i="4"/>
  <c r="Y27" i="4"/>
  <c r="AA22" i="4"/>
  <c r="Y21" i="4"/>
  <c r="AA16" i="4"/>
  <c r="Y15" i="4"/>
  <c r="AA13" i="4"/>
  <c r="AA11" i="4"/>
  <c r="AA54" i="4"/>
  <c r="Q64" i="4"/>
  <c r="S64" i="4" s="1"/>
  <c r="C64" i="4" s="1"/>
  <c r="Q76" i="4"/>
  <c r="S76" i="4" s="1"/>
  <c r="C76" i="4" s="1"/>
  <c r="Q91" i="4"/>
  <c r="S91" i="4" s="1"/>
  <c r="T91" i="4" s="1"/>
  <c r="Q94" i="4"/>
  <c r="S94" i="4" s="1"/>
  <c r="T94" i="4" s="1"/>
  <c r="Q98" i="4"/>
  <c r="S98" i="4" s="1"/>
  <c r="T98" i="4" s="1"/>
  <c r="Y101" i="4"/>
  <c r="Y98" i="4"/>
  <c r="Y95" i="4"/>
  <c r="Y93" i="4"/>
  <c r="Y91" i="4"/>
  <c r="Y89" i="4"/>
  <c r="Y87" i="4"/>
  <c r="Y85" i="4"/>
  <c r="Y83" i="4"/>
  <c r="W83" i="4" s="1"/>
  <c r="Y80" i="4"/>
  <c r="Y78" i="4"/>
  <c r="Y76" i="4"/>
  <c r="Y74" i="4"/>
  <c r="V74" i="4" s="1"/>
  <c r="U74" i="4" s="1"/>
  <c r="F74" i="4" s="1"/>
  <c r="Y65" i="4"/>
  <c r="Y63" i="4"/>
  <c r="AA36" i="4"/>
  <c r="Y34" i="4"/>
  <c r="AA29" i="4"/>
  <c r="Y28" i="4"/>
  <c r="AA25" i="4"/>
  <c r="AA23" i="4"/>
  <c r="Y22" i="4"/>
  <c r="AA19" i="4"/>
  <c r="AA17" i="4"/>
  <c r="Y16" i="4"/>
  <c r="Y13" i="4"/>
  <c r="Y11" i="4"/>
  <c r="Y54" i="4"/>
  <c r="Q25" i="4"/>
  <c r="S25" i="4" s="1"/>
  <c r="T25" i="4" s="1"/>
  <c r="Q65" i="4"/>
  <c r="S65" i="4" s="1"/>
  <c r="T65" i="4" s="1"/>
  <c r="Q77" i="4"/>
  <c r="S77" i="4" s="1"/>
  <c r="T77" i="4" s="1"/>
  <c r="Q85" i="4"/>
  <c r="S85" i="4" s="1"/>
  <c r="T85" i="4" s="1"/>
  <c r="Q92" i="4"/>
  <c r="S92" i="4" s="1"/>
  <c r="T92" i="4" s="1"/>
  <c r="Q101" i="4"/>
  <c r="S101" i="4" s="1"/>
  <c r="T101" i="4" s="1"/>
  <c r="AA99" i="4"/>
  <c r="AA97" i="4"/>
  <c r="AA94" i="4"/>
  <c r="AA92" i="4"/>
  <c r="AA90" i="4"/>
  <c r="AA88" i="4"/>
  <c r="AA86" i="4"/>
  <c r="AA84" i="4"/>
  <c r="AA82" i="4"/>
  <c r="AA79" i="4"/>
  <c r="AA77" i="4"/>
  <c r="AA75" i="4"/>
  <c r="AA73" i="4"/>
  <c r="AA64" i="4"/>
  <c r="AA62" i="4"/>
  <c r="AA37" i="4"/>
  <c r="Y36" i="4"/>
  <c r="AA32" i="4"/>
  <c r="AA30" i="4"/>
  <c r="Y29" i="4"/>
  <c r="AA26" i="4"/>
  <c r="Y25" i="4"/>
  <c r="Y23" i="4"/>
  <c r="AA20" i="4"/>
  <c r="Y19" i="4"/>
  <c r="AA14" i="4"/>
  <c r="X55" i="4"/>
  <c r="X52" i="4"/>
  <c r="T87" i="4"/>
  <c r="X104" i="4"/>
  <c r="W81" i="4"/>
  <c r="I39" i="3"/>
  <c r="J39" i="3" s="1"/>
  <c r="Z66" i="8"/>
  <c r="T52" i="8"/>
  <c r="W52" i="8" s="1"/>
  <c r="T59" i="8"/>
  <c r="T61" i="8"/>
  <c r="T31" i="8"/>
  <c r="W31" i="8" s="1"/>
  <c r="AB31" i="8" s="1"/>
  <c r="T58" i="8"/>
  <c r="T60" i="8"/>
  <c r="N64" i="3"/>
  <c r="N68" i="3"/>
  <c r="N72" i="3"/>
  <c r="N76" i="3"/>
  <c r="N80" i="3"/>
  <c r="N84" i="3"/>
  <c r="N88" i="3"/>
  <c r="N92" i="3"/>
  <c r="N96" i="3"/>
  <c r="N100" i="3"/>
  <c r="N104" i="3"/>
  <c r="N108" i="3"/>
  <c r="N112" i="3"/>
  <c r="N116" i="3"/>
  <c r="N120" i="3"/>
  <c r="N124" i="3"/>
  <c r="N128" i="3"/>
  <c r="N132" i="3"/>
  <c r="N136" i="3"/>
  <c r="N140" i="3"/>
  <c r="N144" i="3"/>
  <c r="N148" i="3"/>
  <c r="N152" i="3"/>
  <c r="N156" i="3"/>
  <c r="N160" i="3"/>
  <c r="N164" i="3"/>
  <c r="N168" i="3"/>
  <c r="N62" i="3"/>
  <c r="N58" i="3"/>
  <c r="N54" i="3"/>
  <c r="N50" i="3"/>
  <c r="N46" i="3"/>
  <c r="N42" i="3"/>
  <c r="N147" i="3"/>
  <c r="N151" i="3"/>
  <c r="N155" i="3"/>
  <c r="N159" i="3"/>
  <c r="N163" i="3"/>
  <c r="N167" i="3"/>
  <c r="N59" i="3"/>
  <c r="N55" i="3"/>
  <c r="N51" i="3"/>
  <c r="N47" i="3"/>
  <c r="N43" i="3"/>
  <c r="N40" i="3"/>
  <c r="N65" i="3"/>
  <c r="N69" i="3"/>
  <c r="N73" i="3"/>
  <c r="N77" i="3"/>
  <c r="N81" i="3"/>
  <c r="N85" i="3"/>
  <c r="N89" i="3"/>
  <c r="N93" i="3"/>
  <c r="N97" i="3"/>
  <c r="N101" i="3"/>
  <c r="N105" i="3"/>
  <c r="N109" i="3"/>
  <c r="N113" i="3"/>
  <c r="N117" i="3"/>
  <c r="N125" i="3"/>
  <c r="N129" i="3"/>
  <c r="N133" i="3"/>
  <c r="N137" i="3"/>
  <c r="N141" i="3"/>
  <c r="N145" i="3"/>
  <c r="N149" i="3"/>
  <c r="N153" i="3"/>
  <c r="N157" i="3"/>
  <c r="N161" i="3"/>
  <c r="N165" i="3"/>
  <c r="N169" i="3"/>
  <c r="N61" i="3"/>
  <c r="N57" i="3"/>
  <c r="N53" i="3"/>
  <c r="N49" i="3"/>
  <c r="J36" i="3"/>
  <c r="D62" i="3"/>
  <c r="D58" i="3"/>
  <c r="D54" i="3"/>
  <c r="D50" i="3"/>
  <c r="D46" i="3"/>
  <c r="D42" i="3"/>
  <c r="D159" i="3"/>
  <c r="D143" i="3"/>
  <c r="D127" i="3"/>
  <c r="D111" i="3"/>
  <c r="D95" i="3"/>
  <c r="D79" i="3"/>
  <c r="D63" i="3"/>
  <c r="D162" i="3"/>
  <c r="D146" i="3"/>
  <c r="D130" i="3"/>
  <c r="D114" i="3"/>
  <c r="D98" i="3"/>
  <c r="D82" i="3"/>
  <c r="D66" i="3"/>
  <c r="D140" i="3"/>
  <c r="D108" i="3"/>
  <c r="D76" i="3"/>
  <c r="D137" i="3"/>
  <c r="D105" i="3"/>
  <c r="D73" i="3"/>
  <c r="D160" i="3"/>
  <c r="D128" i="3"/>
  <c r="D96" i="3"/>
  <c r="D64" i="3"/>
  <c r="D77" i="3"/>
  <c r="D109" i="3"/>
  <c r="D141" i="3"/>
  <c r="D55" i="3"/>
  <c r="D51" i="3"/>
  <c r="D47" i="3"/>
  <c r="D43" i="3"/>
  <c r="D139" i="3"/>
  <c r="D107" i="3"/>
  <c r="D170" i="3"/>
  <c r="D142" i="3"/>
  <c r="D94" i="3"/>
  <c r="D164" i="3"/>
  <c r="D100" i="3"/>
  <c r="D129" i="3"/>
  <c r="D65" i="3"/>
  <c r="D120" i="3"/>
  <c r="D149" i="3"/>
  <c r="D151" i="3"/>
  <c r="D119" i="3"/>
  <c r="D71" i="3"/>
  <c r="D138" i="3"/>
  <c r="D90" i="3"/>
  <c r="D156" i="3"/>
  <c r="D92" i="3"/>
  <c r="D168" i="3"/>
  <c r="D59" i="3"/>
  <c r="D155" i="3"/>
  <c r="D123" i="3"/>
  <c r="D91" i="3"/>
  <c r="D75" i="3"/>
  <c r="D158" i="3"/>
  <c r="D126" i="3"/>
  <c r="D110" i="3"/>
  <c r="D78" i="3"/>
  <c r="D132" i="3"/>
  <c r="D68" i="3"/>
  <c r="D161" i="3"/>
  <c r="D97" i="3"/>
  <c r="D152" i="3"/>
  <c r="D88" i="3"/>
  <c r="D85" i="3"/>
  <c r="D117" i="3"/>
  <c r="D135" i="3"/>
  <c r="D103" i="3"/>
  <c r="D87" i="3"/>
  <c r="D154" i="3"/>
  <c r="D122" i="3"/>
  <c r="D106" i="3"/>
  <c r="D74" i="3"/>
  <c r="D124" i="3"/>
  <c r="D40" i="3"/>
  <c r="D153" i="3"/>
  <c r="D121" i="3"/>
  <c r="D89" i="3"/>
  <c r="D144" i="3"/>
  <c r="D112" i="3"/>
  <c r="D80" i="3"/>
  <c r="D167" i="3"/>
  <c r="D41" i="3"/>
  <c r="D93" i="3"/>
  <c r="D125" i="3"/>
  <c r="D157" i="3"/>
  <c r="D61" i="3"/>
  <c r="D57" i="3"/>
  <c r="D53" i="3"/>
  <c r="D49" i="3"/>
  <c r="D45" i="3"/>
  <c r="D163" i="3"/>
  <c r="D147" i="3"/>
  <c r="D131" i="3"/>
  <c r="D115" i="3"/>
  <c r="D99" i="3"/>
  <c r="D83" i="3"/>
  <c r="D67" i="3"/>
  <c r="D166" i="3"/>
  <c r="D150" i="3"/>
  <c r="D134" i="3"/>
  <c r="D118" i="3"/>
  <c r="D102" i="3"/>
  <c r="D86" i="3"/>
  <c r="D70" i="3"/>
  <c r="D148" i="3"/>
  <c r="D116" i="3"/>
  <c r="D84" i="3"/>
  <c r="D169" i="3"/>
  <c r="D145" i="3"/>
  <c r="D113" i="3"/>
  <c r="D81" i="3"/>
  <c r="D136" i="3"/>
  <c r="D104" i="3"/>
  <c r="D72" i="3"/>
  <c r="D69" i="3"/>
  <c r="D101" i="3"/>
  <c r="D133" i="3"/>
  <c r="D165" i="3"/>
  <c r="D60" i="3"/>
  <c r="D56" i="3"/>
  <c r="D52" i="3"/>
  <c r="D48" i="3"/>
  <c r="W42" i="4"/>
  <c r="W50" i="4"/>
  <c r="W59" i="4"/>
  <c r="W57" i="4"/>
  <c r="T39" i="4"/>
  <c r="X39" i="4" s="1"/>
  <c r="BM71" i="2"/>
  <c r="D75" i="4"/>
  <c r="B61" i="4"/>
  <c r="C60" i="4"/>
  <c r="BM56" i="2" s="1"/>
  <c r="BM70" i="2"/>
  <c r="D74" i="4"/>
  <c r="T108" i="4"/>
  <c r="X108" i="4" s="1"/>
  <c r="C50" i="4"/>
  <c r="C72" i="4"/>
  <c r="BM68" i="2" s="1"/>
  <c r="W55" i="4"/>
  <c r="W44" i="4"/>
  <c r="T35" i="4"/>
  <c r="X35" i="4" s="1"/>
  <c r="T18" i="4"/>
  <c r="V18" i="4" s="1"/>
  <c r="U18" i="4" s="1"/>
  <c r="B76" i="4"/>
  <c r="B77" i="4" s="1"/>
  <c r="B78" i="4" s="1"/>
  <c r="B79" i="4" s="1"/>
  <c r="X50" i="4"/>
  <c r="X42" i="4"/>
  <c r="C49" i="4"/>
  <c r="D49" i="4" s="1"/>
  <c r="C59" i="4"/>
  <c r="D59" i="4" s="1"/>
  <c r="W56" i="4"/>
  <c r="C68" i="4"/>
  <c r="C55" i="4"/>
  <c r="C48" i="4"/>
  <c r="D48" i="4" s="1"/>
  <c r="T106" i="4"/>
  <c r="X106" i="4" s="1"/>
  <c r="T72" i="4"/>
  <c r="X72" i="4" s="1"/>
  <c r="T40" i="4"/>
  <c r="X40" i="4" s="1"/>
  <c r="T31" i="4"/>
  <c r="X31" i="4" s="1"/>
  <c r="C52" i="4"/>
  <c r="BM48" i="2" s="1"/>
  <c r="C61" i="4"/>
  <c r="D61" i="4" s="1"/>
  <c r="V44" i="4"/>
  <c r="U44" i="4" s="1"/>
  <c r="W52" i="4"/>
  <c r="C57" i="4"/>
  <c r="C47" i="4"/>
  <c r="D47" i="4" s="1"/>
  <c r="T102" i="4"/>
  <c r="X102" i="4" s="1"/>
  <c r="T99" i="4"/>
  <c r="T30" i="4"/>
  <c r="C71" i="4"/>
  <c r="BM67" i="2" s="1"/>
  <c r="V66" i="4"/>
  <c r="U66" i="4" s="1"/>
  <c r="W70" i="4"/>
  <c r="X56" i="4"/>
  <c r="X70" i="4"/>
  <c r="C66" i="4"/>
  <c r="C70" i="4"/>
  <c r="C56" i="4"/>
  <c r="D56" i="4" s="1"/>
  <c r="F46" i="4"/>
  <c r="C44" i="4"/>
  <c r="G60" i="2"/>
  <c r="G260" i="2"/>
  <c r="N35" i="2"/>
  <c r="N360" i="2" s="1"/>
  <c r="G235" i="2"/>
  <c r="G385" i="2"/>
  <c r="U360" i="2"/>
  <c r="U485" i="2"/>
  <c r="U185" i="2"/>
  <c r="U160" i="2"/>
  <c r="U235" i="2"/>
  <c r="U410" i="2"/>
  <c r="U460" i="2"/>
  <c r="U435" i="2"/>
  <c r="U135" i="2"/>
  <c r="U110" i="2"/>
  <c r="U385" i="2"/>
  <c r="U285" i="2"/>
  <c r="U260" i="2"/>
  <c r="U85" i="2"/>
  <c r="U60" i="2"/>
  <c r="U335" i="2"/>
  <c r="U210" i="2"/>
  <c r="N60" i="2"/>
  <c r="G85" i="2"/>
  <c r="G110" i="2"/>
  <c r="N260" i="2"/>
  <c r="G285" i="2"/>
  <c r="G435" i="2"/>
  <c r="G360" i="2"/>
  <c r="G135" i="2"/>
  <c r="G160" i="2"/>
  <c r="G460" i="2"/>
  <c r="G485" i="2"/>
  <c r="X335" i="2"/>
  <c r="G410" i="2"/>
  <c r="G185" i="2"/>
  <c r="G210" i="2"/>
  <c r="G335" i="2"/>
  <c r="X385" i="2"/>
  <c r="V71" i="4"/>
  <c r="U71" i="4" s="1"/>
  <c r="V56" i="4"/>
  <c r="U56" i="4" s="1"/>
  <c r="D29" i="4"/>
  <c r="BM25" i="2"/>
  <c r="F274" i="7"/>
  <c r="F242" i="7"/>
  <c r="F226" i="7"/>
  <c r="F146" i="7"/>
  <c r="F114" i="7"/>
  <c r="H35" i="2"/>
  <c r="F210" i="7"/>
  <c r="F162" i="7"/>
  <c r="F130" i="7"/>
  <c r="F82" i="7"/>
  <c r="F258" i="7"/>
  <c r="F178" i="7"/>
  <c r="F66" i="7"/>
  <c r="F29" i="7"/>
  <c r="F194" i="7"/>
  <c r="F98" i="7"/>
  <c r="C13" i="4"/>
  <c r="D13" i="4" s="1"/>
  <c r="X60" i="2"/>
  <c r="X110" i="2"/>
  <c r="X260" i="2"/>
  <c r="X435" i="2"/>
  <c r="X485" i="2"/>
  <c r="V57" i="4"/>
  <c r="U57" i="4" s="1"/>
  <c r="C30" i="4"/>
  <c r="BM26" i="2" s="1"/>
  <c r="J310" i="2"/>
  <c r="X310" i="2"/>
  <c r="J360" i="2"/>
  <c r="X360" i="2"/>
  <c r="J410" i="2"/>
  <c r="C32" i="4"/>
  <c r="D32" i="4" s="1"/>
  <c r="X160" i="2"/>
  <c r="X210" i="2"/>
  <c r="Q35" i="2"/>
  <c r="J85" i="2"/>
  <c r="X85" i="2"/>
  <c r="J135" i="2"/>
  <c r="X135" i="2"/>
  <c r="J185" i="2"/>
  <c r="X185" i="2"/>
  <c r="J235" i="2"/>
  <c r="X235" i="2"/>
  <c r="J285" i="2"/>
  <c r="X285" i="2"/>
  <c r="X460" i="2"/>
  <c r="V52" i="4"/>
  <c r="U52" i="4" s="1"/>
  <c r="V48" i="4"/>
  <c r="U48" i="4" s="1"/>
  <c r="U310" i="2"/>
  <c r="C33" i="4"/>
  <c r="BM29" i="2" s="1"/>
  <c r="T45" i="8"/>
  <c r="R45" i="8" s="1"/>
  <c r="C38" i="4"/>
  <c r="D38" i="4" s="1"/>
  <c r="T38" i="4"/>
  <c r="T105" i="4"/>
  <c r="F57" i="4"/>
  <c r="G57" i="4"/>
  <c r="F43" i="4"/>
  <c r="G43" i="4"/>
  <c r="C43" i="4"/>
  <c r="D43" i="4" s="1"/>
  <c r="T43" i="4"/>
  <c r="V47" i="4"/>
  <c r="U47" i="4" s="1"/>
  <c r="X47" i="4"/>
  <c r="W47" i="4"/>
  <c r="W110" i="4"/>
  <c r="V110" i="4"/>
  <c r="U110" i="4" s="1"/>
  <c r="X71" i="4"/>
  <c r="C20" i="4"/>
  <c r="BM16" i="2" s="1"/>
  <c r="T20" i="4"/>
  <c r="F47" i="4"/>
  <c r="G47" i="4"/>
  <c r="C46" i="4"/>
  <c r="T46" i="4"/>
  <c r="V46" i="4" s="1"/>
  <c r="U46" i="4" s="1"/>
  <c r="C53" i="4"/>
  <c r="D53" i="4" s="1"/>
  <c r="T53" i="4"/>
  <c r="X53" i="4" s="1"/>
  <c r="V107" i="4"/>
  <c r="U107" i="4" s="1"/>
  <c r="W107" i="4"/>
  <c r="V103" i="4"/>
  <c r="U103" i="4" s="1"/>
  <c r="W103" i="4"/>
  <c r="W71" i="4"/>
  <c r="W48" i="4"/>
  <c r="X60" i="4"/>
  <c r="T13" i="4"/>
  <c r="X13" i="4" s="1"/>
  <c r="T96" i="4"/>
  <c r="F59" i="4"/>
  <c r="G59" i="4"/>
  <c r="V109" i="4"/>
  <c r="U109" i="4" s="1"/>
  <c r="W109" i="4"/>
  <c r="C17" i="4"/>
  <c r="D17" i="4" s="1"/>
  <c r="T17" i="4"/>
  <c r="C45" i="4"/>
  <c r="D45" i="4" s="1"/>
  <c r="T45" i="4"/>
  <c r="T100" i="4"/>
  <c r="V100" i="4" s="1"/>
  <c r="U100" i="4" s="1"/>
  <c r="X109" i="4"/>
  <c r="W104" i="4"/>
  <c r="V104" i="4"/>
  <c r="U104" i="4" s="1"/>
  <c r="W66" i="4"/>
  <c r="W61" i="4"/>
  <c r="X61" i="4"/>
  <c r="X68" i="4"/>
  <c r="V68" i="4"/>
  <c r="U68" i="4" s="1"/>
  <c r="W68" i="4"/>
  <c r="X59" i="4"/>
  <c r="C12" i="4"/>
  <c r="BM8" i="2" s="1"/>
  <c r="T12" i="4"/>
  <c r="C41" i="4"/>
  <c r="D41" i="4" s="1"/>
  <c r="T41" i="4"/>
  <c r="X41" i="4" s="1"/>
  <c r="BM69" i="2"/>
  <c r="D73" i="4"/>
  <c r="C51" i="4"/>
  <c r="T51" i="4"/>
  <c r="T84" i="4"/>
  <c r="V50" i="4"/>
  <c r="U50" i="4" s="1"/>
  <c r="V55" i="4"/>
  <c r="U55" i="4" s="1"/>
  <c r="V59" i="4"/>
  <c r="U59" i="4" s="1"/>
  <c r="X66" i="4"/>
  <c r="W60" i="4"/>
  <c r="T47" i="8"/>
  <c r="R47" i="8" s="1"/>
  <c r="G60" i="4"/>
  <c r="T88" i="4"/>
  <c r="V70" i="4"/>
  <c r="U70" i="4" s="1"/>
  <c r="Z65" i="8"/>
  <c r="X65" i="8"/>
  <c r="M65" i="8" s="1"/>
  <c r="Y65" i="8"/>
  <c r="Y64" i="8"/>
  <c r="Z64" i="8"/>
  <c r="W50" i="7"/>
  <c r="W54" i="7"/>
  <c r="W26" i="7"/>
  <c r="Z26" i="7" s="1"/>
  <c r="AB26" i="7" s="1"/>
  <c r="AA26" i="7" s="1"/>
  <c r="P26" i="7" s="1"/>
  <c r="W24" i="7"/>
  <c r="Z24" i="7" s="1"/>
  <c r="AC24" i="7" s="1"/>
  <c r="W21" i="7"/>
  <c r="W17" i="7"/>
  <c r="W55" i="7"/>
  <c r="W49" i="7"/>
  <c r="W20" i="7"/>
  <c r="W59" i="7"/>
  <c r="W63" i="7"/>
  <c r="W22" i="7"/>
  <c r="W18" i="7"/>
  <c r="W53" i="7"/>
  <c r="AB53" i="7" s="1"/>
  <c r="W25" i="7"/>
  <c r="W19" i="7"/>
  <c r="W58" i="7"/>
  <c r="W62" i="7"/>
  <c r="AC62" i="7" s="1"/>
  <c r="W51" i="7"/>
  <c r="X69" i="8"/>
  <c r="M69" i="8" s="1"/>
  <c r="Z69" i="8"/>
  <c r="Y69" i="8"/>
  <c r="Z25" i="7"/>
  <c r="AB25" i="7" s="1"/>
  <c r="AA25" i="7" s="1"/>
  <c r="P25" i="7" s="1"/>
  <c r="Y62" i="8"/>
  <c r="Y68" i="8"/>
  <c r="AC62" i="8"/>
  <c r="AB50" i="7"/>
  <c r="AA50" i="7" s="1"/>
  <c r="Q50" i="7" s="1"/>
  <c r="AN50" i="7" s="1"/>
  <c r="W49" i="4"/>
  <c r="V49" i="4"/>
  <c r="U49" i="4" s="1"/>
  <c r="X49" i="4"/>
  <c r="X81" i="4"/>
  <c r="V81" i="4"/>
  <c r="U81" i="4" s="1"/>
  <c r="C67" i="4"/>
  <c r="T67" i="4"/>
  <c r="F31" i="4"/>
  <c r="G31" i="4"/>
  <c r="F35" i="4"/>
  <c r="G35" i="4"/>
  <c r="F49" i="4"/>
  <c r="G49" i="4"/>
  <c r="F53" i="4"/>
  <c r="G53" i="4"/>
  <c r="F69" i="4"/>
  <c r="G69" i="4"/>
  <c r="F81" i="4"/>
  <c r="G81" i="4"/>
  <c r="D31" i="4"/>
  <c r="BM27" i="2"/>
  <c r="D35" i="4"/>
  <c r="BM31" i="2"/>
  <c r="D39" i="4"/>
  <c r="BM35" i="2"/>
  <c r="F105" i="4"/>
  <c r="G105" i="4"/>
  <c r="F109" i="4"/>
  <c r="G109" i="4"/>
  <c r="C14" i="4"/>
  <c r="T14" i="4"/>
  <c r="D18" i="4"/>
  <c r="BM14" i="2"/>
  <c r="C22" i="4"/>
  <c r="T22" i="4"/>
  <c r="C27" i="4"/>
  <c r="T27" i="4"/>
  <c r="C58" i="4"/>
  <c r="T58" i="4"/>
  <c r="T89" i="4"/>
  <c r="C19" i="4"/>
  <c r="T19" i="4"/>
  <c r="C24" i="4"/>
  <c r="T24" i="4"/>
  <c r="C15" i="4"/>
  <c r="T15" i="4"/>
  <c r="C26" i="4"/>
  <c r="T26" i="4"/>
  <c r="C16" i="4"/>
  <c r="T16" i="4"/>
  <c r="C21" i="4"/>
  <c r="T21" i="4"/>
  <c r="C28" i="4"/>
  <c r="T28" i="4"/>
  <c r="C37" i="4"/>
  <c r="T37" i="4"/>
  <c r="G40" i="4"/>
  <c r="F40" i="4"/>
  <c r="F50" i="4"/>
  <c r="G50" i="4"/>
  <c r="F61" i="4"/>
  <c r="G61" i="4"/>
  <c r="G66" i="4"/>
  <c r="F66" i="4"/>
  <c r="G70" i="4"/>
  <c r="F70" i="4"/>
  <c r="F102" i="4"/>
  <c r="G102" i="4"/>
  <c r="F106" i="4"/>
  <c r="G106" i="4"/>
  <c r="F110" i="4"/>
  <c r="G110" i="4"/>
  <c r="C69" i="4"/>
  <c r="T69" i="4"/>
  <c r="T33" i="4"/>
  <c r="C23" i="4"/>
  <c r="T23" i="4"/>
  <c r="C34" i="4"/>
  <c r="T34" i="4"/>
  <c r="F41" i="4"/>
  <c r="G41" i="4"/>
  <c r="F51" i="4"/>
  <c r="G51" i="4"/>
  <c r="F67" i="4"/>
  <c r="G67" i="4"/>
  <c r="F71" i="4"/>
  <c r="G71" i="4"/>
  <c r="G107" i="4"/>
  <c r="D36" i="4"/>
  <c r="BM32" i="2"/>
  <c r="D40" i="4"/>
  <c r="BM36" i="2"/>
  <c r="F18" i="4"/>
  <c r="G18" i="4"/>
  <c r="F48" i="4"/>
  <c r="G48" i="4"/>
  <c r="F52" i="4"/>
  <c r="G52" i="4"/>
  <c r="G68" i="4"/>
  <c r="F68" i="4"/>
  <c r="G72" i="4"/>
  <c r="F72" i="4"/>
  <c r="F96" i="4"/>
  <c r="G96" i="4"/>
  <c r="F100" i="4"/>
  <c r="G100" i="4"/>
  <c r="F104" i="4"/>
  <c r="G104" i="4"/>
  <c r="F108" i="4"/>
  <c r="G108" i="4"/>
  <c r="T54" i="4"/>
  <c r="C54" i="4"/>
  <c r="G103" i="4"/>
  <c r="F56" i="4"/>
  <c r="G56" i="4"/>
  <c r="F45" i="4"/>
  <c r="G45" i="4"/>
  <c r="G58" i="4"/>
  <c r="G55" i="4"/>
  <c r="G44" i="4"/>
  <c r="T46" i="8"/>
  <c r="R46" i="8" s="1"/>
  <c r="T49" i="8"/>
  <c r="R49" i="8" s="1"/>
  <c r="I51" i="8"/>
  <c r="T44" i="8"/>
  <c r="R44" i="8" s="1"/>
  <c r="T48" i="8"/>
  <c r="R48" i="8" s="1"/>
  <c r="I50" i="8"/>
  <c r="T50" i="8" s="1"/>
  <c r="W22" i="8"/>
  <c r="Z22" i="8" s="1"/>
  <c r="R22" i="8"/>
  <c r="AC26" i="7"/>
  <c r="AD25" i="7"/>
  <c r="R67" i="8"/>
  <c r="AB67" i="8"/>
  <c r="AA67" i="8"/>
  <c r="X67" i="8"/>
  <c r="M67" i="8" s="1"/>
  <c r="AC67" i="8"/>
  <c r="Z67" i="8"/>
  <c r="Y67" i="8"/>
  <c r="Y52" i="8"/>
  <c r="X52" i="8" s="1"/>
  <c r="M52" i="8" s="1"/>
  <c r="P52" i="8" s="1"/>
  <c r="AB52" i="8"/>
  <c r="AA52" i="8"/>
  <c r="Z52" i="8"/>
  <c r="R63" i="8"/>
  <c r="AB63" i="8"/>
  <c r="AA63" i="8"/>
  <c r="X63" i="8"/>
  <c r="M63" i="8" s="1"/>
  <c r="Z63" i="8"/>
  <c r="Y63" i="8"/>
  <c r="AC63" i="8"/>
  <c r="R52" i="8"/>
  <c r="AC63" i="7"/>
  <c r="T75" i="8"/>
  <c r="R75" i="8" s="1"/>
  <c r="R87" i="8" s="1"/>
  <c r="R88" i="8" s="1"/>
  <c r="W52" i="7"/>
  <c r="W61" i="7"/>
  <c r="W56" i="7"/>
  <c r="W23" i="7"/>
  <c r="W57" i="7"/>
  <c r="W60" i="7"/>
  <c r="R68" i="8"/>
  <c r="X68" i="8"/>
  <c r="M68" i="8" s="1"/>
  <c r="AB68" i="8"/>
  <c r="AC68" i="8"/>
  <c r="AA68" i="8"/>
  <c r="X66" i="8"/>
  <c r="M66" i="8" s="1"/>
  <c r="AB66" i="8"/>
  <c r="AA66" i="8"/>
  <c r="R64" i="8"/>
  <c r="X64" i="8"/>
  <c r="M64" i="8" s="1"/>
  <c r="AB64" i="8"/>
  <c r="AC64" i="8"/>
  <c r="AA64" i="8"/>
  <c r="X62" i="8"/>
  <c r="M62" i="8" s="1"/>
  <c r="AB62" i="8"/>
  <c r="AA62" i="8"/>
  <c r="I6" i="7"/>
  <c r="AJ59" i="8" s="1"/>
  <c r="U60" i="8" s="1"/>
  <c r="V60" i="8" s="1"/>
  <c r="G6" i="7"/>
  <c r="AJ57" i="8" s="1"/>
  <c r="J6" i="7"/>
  <c r="AJ60" i="8" s="1"/>
  <c r="U59" i="8" s="1"/>
  <c r="V59" i="8" s="1"/>
  <c r="W59" i="8" s="1"/>
  <c r="H6" i="7"/>
  <c r="K6" i="7"/>
  <c r="AJ61" i="8" s="1"/>
  <c r="R31" i="8"/>
  <c r="R32" i="8" s="1"/>
  <c r="R23" i="8" s="1"/>
  <c r="Y31" i="8"/>
  <c r="X31" i="8" s="1"/>
  <c r="P31" i="8" s="1"/>
  <c r="P32" i="8" s="1"/>
  <c r="P23" i="8" s="1"/>
  <c r="AA31" i="8"/>
  <c r="Z31" i="8"/>
  <c r="AC69" i="8"/>
  <c r="AB69" i="8"/>
  <c r="R69" i="8"/>
  <c r="AA69" i="8"/>
  <c r="AC65" i="8"/>
  <c r="AB65" i="8"/>
  <c r="R65" i="8"/>
  <c r="AA65" i="8"/>
  <c r="AA22" i="8"/>
  <c r="R66" i="8"/>
  <c r="R62" i="8"/>
  <c r="I36" i="3"/>
  <c r="N36" i="3"/>
  <c r="D36" i="3"/>
  <c r="W99" i="4" l="1"/>
  <c r="W78" i="4"/>
  <c r="V40" i="4"/>
  <c r="U40" i="4" s="1"/>
  <c r="W73" i="4"/>
  <c r="W12" i="4"/>
  <c r="W79" i="4"/>
  <c r="V83" i="4"/>
  <c r="U83" i="4" s="1"/>
  <c r="F83" i="4" s="1"/>
  <c r="W75" i="4"/>
  <c r="W65" i="4"/>
  <c r="W93" i="4"/>
  <c r="W95" i="4"/>
  <c r="V32" i="4"/>
  <c r="U32" i="4" s="1"/>
  <c r="F32" i="4" s="1"/>
  <c r="W29" i="4"/>
  <c r="W32" i="4"/>
  <c r="G39" i="4"/>
  <c r="W25" i="4"/>
  <c r="X85" i="4"/>
  <c r="G85" i="4" s="1"/>
  <c r="X98" i="4"/>
  <c r="G98" i="4" s="1"/>
  <c r="X93" i="4"/>
  <c r="G93" i="4" s="1"/>
  <c r="V92" i="4"/>
  <c r="U92" i="4" s="1"/>
  <c r="V25" i="4"/>
  <c r="U25" i="4" s="1"/>
  <c r="F25" i="4" s="1"/>
  <c r="V36" i="4"/>
  <c r="U36" i="4" s="1"/>
  <c r="F36" i="4" s="1"/>
  <c r="X80" i="4"/>
  <c r="G80" i="4" s="1"/>
  <c r="X36" i="4"/>
  <c r="G36" i="4" s="1"/>
  <c r="W88" i="4"/>
  <c r="T64" i="4"/>
  <c r="W64" i="4" s="1"/>
  <c r="X78" i="4"/>
  <c r="G78" i="4" s="1"/>
  <c r="BM52" i="2"/>
  <c r="T62" i="4"/>
  <c r="V62" i="4" s="1"/>
  <c r="U62" i="4" s="1"/>
  <c r="F62" i="4" s="1"/>
  <c r="V93" i="4"/>
  <c r="U93" i="4" s="1"/>
  <c r="F93" i="4" s="1"/>
  <c r="W85" i="4"/>
  <c r="W36" i="4"/>
  <c r="V73" i="4"/>
  <c r="U73" i="4" s="1"/>
  <c r="F73" i="4" s="1"/>
  <c r="V95" i="4"/>
  <c r="U95" i="4" s="1"/>
  <c r="F95" i="4" s="1"/>
  <c r="W80" i="4"/>
  <c r="D52" i="4"/>
  <c r="V79" i="4"/>
  <c r="U79" i="4" s="1"/>
  <c r="F79" i="4" s="1"/>
  <c r="V85" i="4"/>
  <c r="U85" i="4" s="1"/>
  <c r="F85" i="4" s="1"/>
  <c r="C11" i="4"/>
  <c r="D11" i="4" s="1"/>
  <c r="W38" i="4"/>
  <c r="X92" i="4"/>
  <c r="G92" i="4" s="1"/>
  <c r="W17" i="4"/>
  <c r="D60" i="4"/>
  <c r="F92" i="4"/>
  <c r="W98" i="4"/>
  <c r="X86" i="4"/>
  <c r="G86" i="4" s="1"/>
  <c r="X73" i="4"/>
  <c r="G73" i="4" s="1"/>
  <c r="BM13" i="2"/>
  <c r="D72" i="4"/>
  <c r="W74" i="4"/>
  <c r="BM44" i="2"/>
  <c r="V29" i="4"/>
  <c r="U29" i="4" s="1"/>
  <c r="F29" i="4" s="1"/>
  <c r="BM55" i="2"/>
  <c r="W90" i="4"/>
  <c r="V90" i="4"/>
  <c r="U90" i="4" s="1"/>
  <c r="F90" i="4" s="1"/>
  <c r="W72" i="4"/>
  <c r="C65" i="4"/>
  <c r="BM61" i="2" s="1"/>
  <c r="BM39" i="2"/>
  <c r="V80" i="4"/>
  <c r="U80" i="4" s="1"/>
  <c r="F80" i="4" s="1"/>
  <c r="V98" i="4"/>
  <c r="U98" i="4" s="1"/>
  <c r="F98" i="4" s="1"/>
  <c r="W20" i="4"/>
  <c r="V86" i="4"/>
  <c r="U86" i="4" s="1"/>
  <c r="F86" i="4" s="1"/>
  <c r="X25" i="4"/>
  <c r="G25" i="4" s="1"/>
  <c r="X74" i="4"/>
  <c r="G74" i="4" s="1"/>
  <c r="X83" i="4"/>
  <c r="G83" i="4" s="1"/>
  <c r="X95" i="4"/>
  <c r="G95" i="4" s="1"/>
  <c r="X65" i="4"/>
  <c r="G65" i="4" s="1"/>
  <c r="V12" i="4"/>
  <c r="U12" i="4" s="1"/>
  <c r="F12" i="4" s="1"/>
  <c r="V65" i="4"/>
  <c r="U65" i="4" s="1"/>
  <c r="F65" i="4" s="1"/>
  <c r="V75" i="4"/>
  <c r="U75" i="4" s="1"/>
  <c r="F75" i="4" s="1"/>
  <c r="W53" i="4"/>
  <c r="X99" i="4"/>
  <c r="G99" i="4" s="1"/>
  <c r="X12" i="4"/>
  <c r="G12" i="4" s="1"/>
  <c r="W84" i="4"/>
  <c r="X90" i="4"/>
  <c r="G90" i="4" s="1"/>
  <c r="V13" i="4"/>
  <c r="U13" i="4" s="1"/>
  <c r="F13" i="4" s="1"/>
  <c r="X87" i="4"/>
  <c r="G87" i="4" s="1"/>
  <c r="X75" i="4"/>
  <c r="G75" i="4" s="1"/>
  <c r="X79" i="4"/>
  <c r="G79" i="4" s="1"/>
  <c r="X97" i="4"/>
  <c r="G97" i="4" s="1"/>
  <c r="G13" i="4"/>
  <c r="W102" i="4"/>
  <c r="W30" i="4"/>
  <c r="V99" i="4"/>
  <c r="U99" i="4" s="1"/>
  <c r="F99" i="4" s="1"/>
  <c r="BM57" i="2"/>
  <c r="BM45" i="2"/>
  <c r="D12" i="4"/>
  <c r="G29" i="4"/>
  <c r="X30" i="4"/>
  <c r="G30" i="4" s="1"/>
  <c r="T76" i="4"/>
  <c r="W76" i="4" s="1"/>
  <c r="V39" i="4"/>
  <c r="U39" i="4" s="1"/>
  <c r="F39" i="4" s="1"/>
  <c r="V102" i="4"/>
  <c r="U102" i="4" s="1"/>
  <c r="C25" i="4"/>
  <c r="D25" i="4" s="1"/>
  <c r="BM34" i="2"/>
  <c r="W39" i="4"/>
  <c r="V108" i="4"/>
  <c r="U108" i="4" s="1"/>
  <c r="T63" i="4"/>
  <c r="V63" i="4" s="1"/>
  <c r="U63" i="4" s="1"/>
  <c r="F63" i="4" s="1"/>
  <c r="V77" i="4"/>
  <c r="U77" i="4" s="1"/>
  <c r="F77" i="4" s="1"/>
  <c r="V87" i="4"/>
  <c r="U87" i="4" s="1"/>
  <c r="F87" i="4" s="1"/>
  <c r="W94" i="4"/>
  <c r="V72" i="4"/>
  <c r="U72" i="4" s="1"/>
  <c r="W108" i="4"/>
  <c r="W92" i="4"/>
  <c r="X101" i="4"/>
  <c r="G101" i="4" s="1"/>
  <c r="W101" i="4"/>
  <c r="V101" i="4"/>
  <c r="U101" i="4" s="1"/>
  <c r="F101" i="4" s="1"/>
  <c r="D30" i="4"/>
  <c r="V78" i="4"/>
  <c r="U78" i="4" s="1"/>
  <c r="F78" i="4" s="1"/>
  <c r="X77" i="4"/>
  <c r="G77" i="4" s="1"/>
  <c r="X20" i="4"/>
  <c r="G20" i="4" s="1"/>
  <c r="W40" i="4"/>
  <c r="V94" i="4"/>
  <c r="U94" i="4" s="1"/>
  <c r="F94" i="4" s="1"/>
  <c r="W87" i="4"/>
  <c r="V97" i="4"/>
  <c r="U97" i="4" s="1"/>
  <c r="F97" i="4" s="1"/>
  <c r="W97" i="4"/>
  <c r="D71" i="4"/>
  <c r="W77" i="4"/>
  <c r="W86" i="4"/>
  <c r="V31" i="4"/>
  <c r="U31" i="4" s="1"/>
  <c r="D20" i="4"/>
  <c r="X17" i="4"/>
  <c r="G17" i="4" s="1"/>
  <c r="V20" i="4"/>
  <c r="U20" i="4" s="1"/>
  <c r="F20" i="4" s="1"/>
  <c r="W31" i="4"/>
  <c r="W13" i="4"/>
  <c r="X94" i="4"/>
  <c r="G94" i="4" s="1"/>
  <c r="C77" i="4"/>
  <c r="BM37" i="2"/>
  <c r="X84" i="4"/>
  <c r="G84" i="4" s="1"/>
  <c r="X88" i="4"/>
  <c r="G88" i="4" s="1"/>
  <c r="W60" i="8"/>
  <c r="G23" i="8"/>
  <c r="AI59" i="7" s="1"/>
  <c r="U58" i="8"/>
  <c r="V58" i="8" s="1"/>
  <c r="W58" i="8" s="1"/>
  <c r="R58" i="8" s="1"/>
  <c r="T51" i="8"/>
  <c r="W51" i="8" s="1"/>
  <c r="G24" i="8"/>
  <c r="AG68" i="8" s="1"/>
  <c r="O36" i="3"/>
  <c r="G22" i="8"/>
  <c r="AE59" i="8" s="1"/>
  <c r="E36" i="3"/>
  <c r="V84" i="4"/>
  <c r="U84" i="4" s="1"/>
  <c r="F84" i="4" s="1"/>
  <c r="V17" i="4"/>
  <c r="U17" i="4" s="1"/>
  <c r="F17" i="4" s="1"/>
  <c r="X38" i="4"/>
  <c r="G38" i="4" s="1"/>
  <c r="V41" i="4"/>
  <c r="U41" i="4" s="1"/>
  <c r="C78" i="4"/>
  <c r="BM74" i="2" s="1"/>
  <c r="BM66" i="2"/>
  <c r="D70" i="4"/>
  <c r="BM41" i="2"/>
  <c r="D33" i="4"/>
  <c r="V30" i="4"/>
  <c r="U30" i="4" s="1"/>
  <c r="F30" i="4" s="1"/>
  <c r="V38" i="4"/>
  <c r="U38" i="4" s="1"/>
  <c r="F38" i="4" s="1"/>
  <c r="V88" i="4"/>
  <c r="U88" i="4" s="1"/>
  <c r="F88" i="4" s="1"/>
  <c r="V53" i="4"/>
  <c r="U53" i="4" s="1"/>
  <c r="BM43" i="2"/>
  <c r="V106" i="4"/>
  <c r="U106" i="4" s="1"/>
  <c r="N185" i="2"/>
  <c r="N435" i="2"/>
  <c r="N110" i="2"/>
  <c r="BM62" i="2"/>
  <c r="D66" i="4"/>
  <c r="D57" i="4"/>
  <c r="BM53" i="2"/>
  <c r="D50" i="4"/>
  <c r="BM46" i="2"/>
  <c r="BM59" i="2"/>
  <c r="D63" i="4"/>
  <c r="BM28" i="2"/>
  <c r="V35" i="4"/>
  <c r="U35" i="4" s="1"/>
  <c r="W106" i="4"/>
  <c r="N385" i="2"/>
  <c r="N285" i="2"/>
  <c r="N85" i="2"/>
  <c r="C79" i="4"/>
  <c r="B80" i="4"/>
  <c r="BM49" i="2"/>
  <c r="W35" i="4"/>
  <c r="N485" i="2"/>
  <c r="N160" i="2"/>
  <c r="N460" i="2"/>
  <c r="N135" i="2"/>
  <c r="D44" i="4"/>
  <c r="BM40" i="2"/>
  <c r="D55" i="4"/>
  <c r="BM51" i="2"/>
  <c r="BM64" i="2"/>
  <c r="D68" i="4"/>
  <c r="W18" i="4"/>
  <c r="X18" i="4"/>
  <c r="N410" i="2"/>
  <c r="N335" i="2"/>
  <c r="N235" i="2"/>
  <c r="N210" i="2"/>
  <c r="N310" i="2"/>
  <c r="BM9" i="2"/>
  <c r="H485" i="2"/>
  <c r="H435" i="2"/>
  <c r="H260" i="2"/>
  <c r="H210" i="2"/>
  <c r="H160" i="2"/>
  <c r="H110" i="2"/>
  <c r="H60" i="2"/>
  <c r="V35" i="2"/>
  <c r="O35" i="2"/>
  <c r="H410" i="2"/>
  <c r="H310" i="2"/>
  <c r="H385" i="2"/>
  <c r="H335" i="2"/>
  <c r="H460" i="2"/>
  <c r="H185" i="2"/>
  <c r="H285" i="2"/>
  <c r="H235" i="2"/>
  <c r="H135" i="2"/>
  <c r="H85" i="2"/>
  <c r="H360" i="2"/>
  <c r="Q485" i="2"/>
  <c r="Q435" i="2"/>
  <c r="Q260" i="2"/>
  <c r="Q210" i="2"/>
  <c r="Q160" i="2"/>
  <c r="Q110" i="2"/>
  <c r="Q60" i="2"/>
  <c r="Q85" i="2"/>
  <c r="Q410" i="2"/>
  <c r="Q385" i="2"/>
  <c r="Q335" i="2"/>
  <c r="Q460" i="2"/>
  <c r="Q185" i="2"/>
  <c r="Q135" i="2"/>
  <c r="Q360" i="2"/>
  <c r="Q310" i="2"/>
  <c r="Q285" i="2"/>
  <c r="Q235" i="2"/>
  <c r="D51" i="4"/>
  <c r="BM47" i="2"/>
  <c r="X100" i="4"/>
  <c r="W100" i="4"/>
  <c r="D46" i="4"/>
  <c r="BM42" i="2"/>
  <c r="X43" i="4"/>
  <c r="V43" i="4"/>
  <c r="U43" i="4" s="1"/>
  <c r="W43" i="4"/>
  <c r="V105" i="4"/>
  <c r="U105" i="4" s="1"/>
  <c r="W105" i="4"/>
  <c r="X105" i="4"/>
  <c r="V91" i="4"/>
  <c r="U91" i="4" s="1"/>
  <c r="F91" i="4" s="1"/>
  <c r="W91" i="4"/>
  <c r="X91" i="4"/>
  <c r="G91" i="4" s="1"/>
  <c r="V11" i="4"/>
  <c r="U11" i="4" s="1"/>
  <c r="F11" i="4" s="1"/>
  <c r="W11" i="4"/>
  <c r="X45" i="4"/>
  <c r="V45" i="4"/>
  <c r="U45" i="4" s="1"/>
  <c r="W45" i="4"/>
  <c r="W41" i="4"/>
  <c r="X11" i="4"/>
  <c r="G11" i="4" s="1"/>
  <c r="X51" i="4"/>
  <c r="W51" i="4"/>
  <c r="V51" i="4"/>
  <c r="U51" i="4" s="1"/>
  <c r="W96" i="4"/>
  <c r="V96" i="4"/>
  <c r="U96" i="4" s="1"/>
  <c r="X96" i="4"/>
  <c r="X46" i="4"/>
  <c r="W46" i="4"/>
  <c r="V82" i="4"/>
  <c r="U82" i="4" s="1"/>
  <c r="F82" i="4" s="1"/>
  <c r="X82" i="4"/>
  <c r="G82" i="4" s="1"/>
  <c r="W82" i="4"/>
  <c r="AB51" i="7"/>
  <c r="AC51" i="7"/>
  <c r="AB63" i="7"/>
  <c r="AE63" i="7"/>
  <c r="AB55" i="7"/>
  <c r="AD55" i="7"/>
  <c r="AE55" i="7"/>
  <c r="AC55" i="7"/>
  <c r="AD63" i="7"/>
  <c r="AA53" i="7"/>
  <c r="AE51" i="7"/>
  <c r="AC25" i="7"/>
  <c r="AD26" i="7"/>
  <c r="AE62" i="7"/>
  <c r="AD62" i="7"/>
  <c r="AB62" i="7"/>
  <c r="AE53" i="7"/>
  <c r="AC53" i="7"/>
  <c r="AD53" i="7"/>
  <c r="AB59" i="7"/>
  <c r="AE59" i="7"/>
  <c r="AD59" i="7"/>
  <c r="AC59" i="7"/>
  <c r="AB54" i="7"/>
  <c r="AC54" i="7"/>
  <c r="AE54" i="7"/>
  <c r="AD54" i="7"/>
  <c r="AE25" i="7"/>
  <c r="AE26" i="7"/>
  <c r="AB58" i="7"/>
  <c r="AE58" i="7"/>
  <c r="AD58" i="7"/>
  <c r="AC58" i="7"/>
  <c r="AE50" i="7"/>
  <c r="AD50" i="7"/>
  <c r="AC50" i="7"/>
  <c r="AD51" i="7"/>
  <c r="AD49" i="7"/>
  <c r="AB49" i="7"/>
  <c r="AA49" i="7" s="1"/>
  <c r="AC49" i="7"/>
  <c r="AE49" i="7"/>
  <c r="AE24" i="7"/>
  <c r="AB24" i="7"/>
  <c r="AA24" i="7" s="1"/>
  <c r="P24" i="7" s="1"/>
  <c r="AN24" i="7" s="1"/>
  <c r="AD24" i="7"/>
  <c r="D34" i="4"/>
  <c r="BM30" i="2"/>
  <c r="D37" i="4"/>
  <c r="BM33" i="2"/>
  <c r="D16" i="4"/>
  <c r="BM12" i="2"/>
  <c r="D26" i="4"/>
  <c r="BM22" i="2"/>
  <c r="D15" i="4"/>
  <c r="BM11" i="2"/>
  <c r="D24" i="4"/>
  <c r="BM20" i="2"/>
  <c r="V58" i="4"/>
  <c r="U58" i="4" s="1"/>
  <c r="X58" i="4"/>
  <c r="W58" i="4"/>
  <c r="V27" i="4"/>
  <c r="U27" i="4" s="1"/>
  <c r="F27" i="4" s="1"/>
  <c r="X27" i="4"/>
  <c r="G27" i="4" s="1"/>
  <c r="W27" i="4"/>
  <c r="BM72" i="2"/>
  <c r="D76" i="4"/>
  <c r="BM60" i="2"/>
  <c r="D64" i="4"/>
  <c r="D54" i="4"/>
  <c r="BM50" i="2"/>
  <c r="D23" i="4"/>
  <c r="BM19" i="2"/>
  <c r="BM65" i="2"/>
  <c r="D69" i="4"/>
  <c r="D28" i="4"/>
  <c r="BM24" i="2"/>
  <c r="V54" i="4"/>
  <c r="U54" i="4" s="1"/>
  <c r="F54" i="4" s="1"/>
  <c r="X54" i="4"/>
  <c r="G54" i="4" s="1"/>
  <c r="W54" i="4"/>
  <c r="V33" i="4"/>
  <c r="U33" i="4" s="1"/>
  <c r="F33" i="4" s="1"/>
  <c r="X33" i="4"/>
  <c r="G33" i="4" s="1"/>
  <c r="W33" i="4"/>
  <c r="V21" i="4"/>
  <c r="U21" i="4" s="1"/>
  <c r="F21" i="4" s="1"/>
  <c r="X21" i="4"/>
  <c r="G21" i="4" s="1"/>
  <c r="W21" i="4"/>
  <c r="V19" i="4"/>
  <c r="U19" i="4" s="1"/>
  <c r="F19" i="4" s="1"/>
  <c r="X19" i="4"/>
  <c r="G19" i="4" s="1"/>
  <c r="W19" i="4"/>
  <c r="D58" i="4"/>
  <c r="BM54" i="2"/>
  <c r="D27" i="4"/>
  <c r="BM23" i="2"/>
  <c r="X67" i="4"/>
  <c r="V67" i="4"/>
  <c r="U67" i="4" s="1"/>
  <c r="W67" i="4"/>
  <c r="D21" i="4"/>
  <c r="BM17" i="2"/>
  <c r="D19" i="4"/>
  <c r="BM15" i="2"/>
  <c r="V22" i="4"/>
  <c r="U22" i="4" s="1"/>
  <c r="F22" i="4" s="1"/>
  <c r="X22" i="4"/>
  <c r="G22" i="4" s="1"/>
  <c r="W22" i="4"/>
  <c r="V14" i="4"/>
  <c r="U14" i="4" s="1"/>
  <c r="F14" i="4" s="1"/>
  <c r="X14" i="4"/>
  <c r="G14" i="4" s="1"/>
  <c r="W14" i="4"/>
  <c r="BM63" i="2"/>
  <c r="D67" i="4"/>
  <c r="D62" i="4"/>
  <c r="BM58" i="2"/>
  <c r="V34" i="4"/>
  <c r="U34" i="4" s="1"/>
  <c r="F34" i="4" s="1"/>
  <c r="X34" i="4"/>
  <c r="G34" i="4" s="1"/>
  <c r="W34" i="4"/>
  <c r="V23" i="4"/>
  <c r="U23" i="4" s="1"/>
  <c r="F23" i="4" s="1"/>
  <c r="X23" i="4"/>
  <c r="G23" i="4" s="1"/>
  <c r="W23" i="4"/>
  <c r="X69" i="4"/>
  <c r="V69" i="4"/>
  <c r="U69" i="4" s="1"/>
  <c r="W69" i="4"/>
  <c r="V37" i="4"/>
  <c r="U37" i="4" s="1"/>
  <c r="F37" i="4" s="1"/>
  <c r="X37" i="4"/>
  <c r="G37" i="4" s="1"/>
  <c r="W37" i="4"/>
  <c r="V28" i="4"/>
  <c r="U28" i="4" s="1"/>
  <c r="F28" i="4" s="1"/>
  <c r="X28" i="4"/>
  <c r="G28" i="4" s="1"/>
  <c r="W28" i="4"/>
  <c r="V16" i="4"/>
  <c r="U16" i="4" s="1"/>
  <c r="F16" i="4" s="1"/>
  <c r="X16" i="4"/>
  <c r="G16" i="4" s="1"/>
  <c r="W16" i="4"/>
  <c r="V26" i="4"/>
  <c r="U26" i="4" s="1"/>
  <c r="F26" i="4" s="1"/>
  <c r="X26" i="4"/>
  <c r="G26" i="4" s="1"/>
  <c r="W26" i="4"/>
  <c r="V15" i="4"/>
  <c r="U15" i="4" s="1"/>
  <c r="F15" i="4" s="1"/>
  <c r="X15" i="4"/>
  <c r="G15" i="4" s="1"/>
  <c r="W15" i="4"/>
  <c r="V24" i="4"/>
  <c r="U24" i="4" s="1"/>
  <c r="F24" i="4" s="1"/>
  <c r="W24" i="4"/>
  <c r="X24" i="4"/>
  <c r="G24" i="4" s="1"/>
  <c r="V89" i="4"/>
  <c r="U89" i="4" s="1"/>
  <c r="F89" i="4" s="1"/>
  <c r="X89" i="4"/>
  <c r="G89" i="4" s="1"/>
  <c r="W89" i="4"/>
  <c r="D22" i="4"/>
  <c r="BM18" i="2"/>
  <c r="D14" i="4"/>
  <c r="BM10" i="2"/>
  <c r="AB22" i="8"/>
  <c r="Y22" i="8"/>
  <c r="X22" i="8" s="1"/>
  <c r="P22" i="8" s="1"/>
  <c r="Y58" i="8"/>
  <c r="X58" i="8" s="1"/>
  <c r="M58" i="8" s="1"/>
  <c r="P58" i="8" s="1"/>
  <c r="AA58" i="8"/>
  <c r="AB58" i="8"/>
  <c r="R60" i="8"/>
  <c r="Y60" i="8"/>
  <c r="X60" i="8" s="1"/>
  <c r="M60" i="8" s="1"/>
  <c r="P60" i="8" s="1"/>
  <c r="AA60" i="8"/>
  <c r="Z60" i="8"/>
  <c r="AB60" i="8"/>
  <c r="AD61" i="7"/>
  <c r="AC61" i="7"/>
  <c r="AB61" i="7"/>
  <c r="AE61" i="7"/>
  <c r="Q53" i="7"/>
  <c r="X23" i="7"/>
  <c r="Y23" i="7" s="1"/>
  <c r="X20" i="7"/>
  <c r="Y20" i="7" s="1"/>
  <c r="Z20" i="7" s="1"/>
  <c r="X21" i="7"/>
  <c r="Y21" i="7" s="1"/>
  <c r="Z21" i="7" s="1"/>
  <c r="X17" i="7"/>
  <c r="Y17" i="7" s="1"/>
  <c r="Z17" i="7" s="1"/>
  <c r="AJ58" i="8"/>
  <c r="U61" i="8" s="1"/>
  <c r="V61" i="8" s="1"/>
  <c r="W61" i="8" s="1"/>
  <c r="X22" i="7"/>
  <c r="Y22" i="7" s="1"/>
  <c r="Z22" i="7" s="1"/>
  <c r="X18" i="7"/>
  <c r="Y18" i="7" s="1"/>
  <c r="Z18" i="7" s="1"/>
  <c r="X19" i="7"/>
  <c r="Y19" i="7" s="1"/>
  <c r="Z19" i="7" s="1"/>
  <c r="AE57" i="7"/>
  <c r="AD57" i="7"/>
  <c r="AC57" i="7"/>
  <c r="AB57" i="7"/>
  <c r="AD52" i="7"/>
  <c r="AC52" i="7"/>
  <c r="AB52" i="7"/>
  <c r="AA52" i="7" s="1"/>
  <c r="AE52" i="7"/>
  <c r="Y59" i="8"/>
  <c r="X59" i="8" s="1"/>
  <c r="M59" i="8" s="1"/>
  <c r="P59" i="8" s="1"/>
  <c r="Z59" i="8"/>
  <c r="R59" i="8"/>
  <c r="AB59" i="8"/>
  <c r="AA59" i="8"/>
  <c r="Z23" i="7"/>
  <c r="AN25" i="7"/>
  <c r="W50" i="8"/>
  <c r="R50" i="8"/>
  <c r="AD56" i="7"/>
  <c r="AC56" i="7"/>
  <c r="AB56" i="7"/>
  <c r="AE56" i="7"/>
  <c r="AD60" i="7"/>
  <c r="AB60" i="7"/>
  <c r="AC60" i="7"/>
  <c r="AE60" i="7"/>
  <c r="AN26" i="7"/>
  <c r="W62" i="4" l="1"/>
  <c r="X64" i="4"/>
  <c r="G64" i="4" s="1"/>
  <c r="D65" i="4"/>
  <c r="F276" i="7" s="1"/>
  <c r="X76" i="4"/>
  <c r="G76" i="4" s="1"/>
  <c r="V76" i="4"/>
  <c r="U76" i="4" s="1"/>
  <c r="F76" i="4" s="1"/>
  <c r="V64" i="4"/>
  <c r="U64" i="4" s="1"/>
  <c r="F64" i="4" s="1"/>
  <c r="F33" i="7" s="1"/>
  <c r="X62" i="4"/>
  <c r="G62" i="4" s="1"/>
  <c r="G31" i="7" s="1"/>
  <c r="X63" i="4"/>
  <c r="G63" i="4" s="1"/>
  <c r="G32" i="7" s="1"/>
  <c r="H414" i="2"/>
  <c r="W63" i="4"/>
  <c r="G488" i="2"/>
  <c r="AE488" i="2" s="1"/>
  <c r="J488" i="2"/>
  <c r="BM7" i="2"/>
  <c r="BM21" i="2"/>
  <c r="AF67" i="8"/>
  <c r="AI20" i="7"/>
  <c r="AI53" i="7"/>
  <c r="AI25" i="7"/>
  <c r="AI49" i="7"/>
  <c r="AI63" i="7"/>
  <c r="AI62" i="7"/>
  <c r="AF63" i="8"/>
  <c r="AF59" i="8"/>
  <c r="AF58" i="8"/>
  <c r="AF68" i="8"/>
  <c r="AF60" i="8"/>
  <c r="AI17" i="7"/>
  <c r="AF52" i="8"/>
  <c r="AI54" i="7"/>
  <c r="AF31" i="8"/>
  <c r="AI61" i="7"/>
  <c r="AI24" i="7"/>
  <c r="AF65" i="8"/>
  <c r="AF69" i="8"/>
  <c r="AI57" i="7"/>
  <c r="AF22" i="8"/>
  <c r="AI18" i="7"/>
  <c r="AI21" i="7"/>
  <c r="AI26" i="7"/>
  <c r="AI51" i="7"/>
  <c r="AF64" i="8"/>
  <c r="AI55" i="7"/>
  <c r="AI52" i="7"/>
  <c r="AI56" i="7"/>
  <c r="AI58" i="7"/>
  <c r="AI60" i="7"/>
  <c r="AF62" i="8"/>
  <c r="AF66" i="8"/>
  <c r="AI50" i="7"/>
  <c r="BM73" i="2"/>
  <c r="D77" i="4"/>
  <c r="G279" i="7" s="1"/>
  <c r="D78" i="4"/>
  <c r="R51" i="8"/>
  <c r="AG66" i="8"/>
  <c r="Z58" i="8"/>
  <c r="AE50" i="8"/>
  <c r="AH19" i="7"/>
  <c r="AJ57" i="7"/>
  <c r="AJ53" i="7"/>
  <c r="AJ56" i="7"/>
  <c r="AA55" i="7"/>
  <c r="AA57" i="7" s="1"/>
  <c r="AJ50" i="7"/>
  <c r="AG52" i="8"/>
  <c r="AJ59" i="7"/>
  <c r="AJ61" i="7"/>
  <c r="AG61" i="8"/>
  <c r="AG22" i="8"/>
  <c r="AJ51" i="7"/>
  <c r="AJ26" i="7"/>
  <c r="AJ54" i="7"/>
  <c r="AG65" i="8"/>
  <c r="AI19" i="7"/>
  <c r="AJ18" i="7"/>
  <c r="AD51" i="8"/>
  <c r="AC51" i="8" s="1"/>
  <c r="AF61" i="8"/>
  <c r="AD62" i="8"/>
  <c r="AJ19" i="7"/>
  <c r="AJ55" i="7"/>
  <c r="AJ25" i="7"/>
  <c r="AG59" i="8"/>
  <c r="AJ58" i="7"/>
  <c r="AJ63" i="7"/>
  <c r="AG62" i="8"/>
  <c r="AG67" i="8"/>
  <c r="AG60" i="8"/>
  <c r="AJ62" i="7"/>
  <c r="AJ17" i="7"/>
  <c r="AG31" i="8"/>
  <c r="AJ49" i="7"/>
  <c r="AG58" i="8"/>
  <c r="AG63" i="8"/>
  <c r="AG69" i="8"/>
  <c r="AH57" i="7"/>
  <c r="AG56" i="7"/>
  <c r="AE63" i="8"/>
  <c r="AJ52" i="7"/>
  <c r="AJ21" i="7"/>
  <c r="AJ60" i="7"/>
  <c r="AJ24" i="7"/>
  <c r="AG64" i="8"/>
  <c r="AG57" i="7"/>
  <c r="AE52" i="8"/>
  <c r="AG21" i="7"/>
  <c r="AF21" i="7" s="1"/>
  <c r="Q21" i="7" s="1"/>
  <c r="AG55" i="7"/>
  <c r="AG61" i="7"/>
  <c r="AG23" i="7"/>
  <c r="AF23" i="7" s="1"/>
  <c r="Q23" i="7" s="1"/>
  <c r="AE69" i="8"/>
  <c r="AH24" i="7"/>
  <c r="AH25" i="7"/>
  <c r="AE31" i="8"/>
  <c r="AD52" i="8"/>
  <c r="AC52" i="8" s="1"/>
  <c r="N52" i="8" s="1"/>
  <c r="Q52" i="8" s="1"/>
  <c r="AH61" i="7"/>
  <c r="AD22" i="8"/>
  <c r="AC22" i="8" s="1"/>
  <c r="Q22" i="8" s="1"/>
  <c r="AD60" i="8"/>
  <c r="AC60" i="8" s="1"/>
  <c r="AH54" i="7"/>
  <c r="AD63" i="8"/>
  <c r="AE58" i="8"/>
  <c r="AH58" i="7"/>
  <c r="AD64" i="8"/>
  <c r="AE62" i="8"/>
  <c r="AH17" i="7"/>
  <c r="AG26" i="7"/>
  <c r="AF26" i="7" s="1"/>
  <c r="Q26" i="7" s="1"/>
  <c r="AG53" i="7"/>
  <c r="AG54" i="7"/>
  <c r="AG63" i="7"/>
  <c r="AD69" i="8"/>
  <c r="AE61" i="8"/>
  <c r="AG51" i="7"/>
  <c r="AD31" i="8"/>
  <c r="AC31" i="8" s="1"/>
  <c r="Q31" i="8" s="1"/>
  <c r="Q32" i="8" s="1"/>
  <c r="Q23" i="8" s="1"/>
  <c r="AE68" i="8"/>
  <c r="AH55" i="7"/>
  <c r="AD61" i="8"/>
  <c r="AC61" i="8" s="1"/>
  <c r="AG59" i="7"/>
  <c r="AH60" i="7"/>
  <c r="AG18" i="7"/>
  <c r="AF18" i="7" s="1"/>
  <c r="Q18" i="7" s="1"/>
  <c r="AD65" i="8"/>
  <c r="AH56" i="7"/>
  <c r="AH18" i="7"/>
  <c r="AE65" i="8"/>
  <c r="AH49" i="7"/>
  <c r="AG58" i="7"/>
  <c r="AD66" i="8"/>
  <c r="AH52" i="7"/>
  <c r="AE64" i="8"/>
  <c r="AG52" i="7"/>
  <c r="AH50" i="7"/>
  <c r="AH59" i="7"/>
  <c r="AE60" i="8"/>
  <c r="AD59" i="8"/>
  <c r="AC59" i="8" s="1"/>
  <c r="AH62" i="7"/>
  <c r="AH26" i="7"/>
  <c r="AG49" i="7"/>
  <c r="AF49" i="7" s="1"/>
  <c r="AF51" i="7" s="1"/>
  <c r="R51" i="7" s="1"/>
  <c r="AG60" i="7"/>
  <c r="AH21" i="7"/>
  <c r="AD67" i="8"/>
  <c r="AH63" i="7"/>
  <c r="AG25" i="7"/>
  <c r="AF25" i="7" s="1"/>
  <c r="Q25" i="7" s="1"/>
  <c r="AE67" i="8"/>
  <c r="AH51" i="7"/>
  <c r="AG24" i="7"/>
  <c r="AF24" i="7" s="1"/>
  <c r="Q24" i="7" s="1"/>
  <c r="AD68" i="8"/>
  <c r="AG19" i="7"/>
  <c r="AF19" i="7" s="1"/>
  <c r="Q19" i="7" s="1"/>
  <c r="AE66" i="8"/>
  <c r="AG50" i="7"/>
  <c r="AF50" i="7" s="1"/>
  <c r="AH53" i="7"/>
  <c r="AG17" i="7"/>
  <c r="AF17" i="7" s="1"/>
  <c r="Q17" i="7" s="1"/>
  <c r="AE22" i="8"/>
  <c r="AD58" i="8"/>
  <c r="AC58" i="8" s="1"/>
  <c r="AG62" i="7"/>
  <c r="AH23" i="7"/>
  <c r="AG22" i="7"/>
  <c r="AF22" i="7" s="1"/>
  <c r="Q22" i="7" s="1"/>
  <c r="AG20" i="7"/>
  <c r="AF20" i="7" s="1"/>
  <c r="Q20" i="7" s="1"/>
  <c r="B81" i="4"/>
  <c r="C80" i="4"/>
  <c r="F201" i="7"/>
  <c r="BM75" i="2"/>
  <c r="D79" i="4"/>
  <c r="H291" i="2"/>
  <c r="I462" i="2"/>
  <c r="G414" i="2"/>
  <c r="AE414" i="2" s="1"/>
  <c r="I291" i="2"/>
  <c r="J463" i="2"/>
  <c r="AF50" i="8"/>
  <c r="G464" i="2"/>
  <c r="AE464" i="2" s="1"/>
  <c r="H64" i="2"/>
  <c r="G201" i="7"/>
  <c r="J464" i="2"/>
  <c r="I339" i="2"/>
  <c r="H462" i="2"/>
  <c r="I64" i="2"/>
  <c r="H464" i="2"/>
  <c r="AT464" i="2" s="1"/>
  <c r="I414" i="2"/>
  <c r="V485" i="2"/>
  <c r="V435" i="2"/>
  <c r="V260" i="2"/>
  <c r="V210" i="2"/>
  <c r="V160" i="2"/>
  <c r="V110" i="2"/>
  <c r="V60" i="2"/>
  <c r="V235" i="2"/>
  <c r="V185" i="2"/>
  <c r="V310" i="2"/>
  <c r="V385" i="2"/>
  <c r="V335" i="2"/>
  <c r="V460" i="2"/>
  <c r="V360" i="2"/>
  <c r="V285" i="2"/>
  <c r="V135" i="2"/>
  <c r="V85" i="2"/>
  <c r="V410" i="2"/>
  <c r="O460" i="2"/>
  <c r="O285" i="2"/>
  <c r="O235" i="2"/>
  <c r="O185" i="2"/>
  <c r="O135" i="2"/>
  <c r="O85" i="2"/>
  <c r="O60" i="2"/>
  <c r="O335" i="2"/>
  <c r="O360" i="2"/>
  <c r="O310" i="2"/>
  <c r="O485" i="2"/>
  <c r="O210" i="2"/>
  <c r="O160" i="2"/>
  <c r="O385" i="2"/>
  <c r="O435" i="2"/>
  <c r="O260" i="2"/>
  <c r="O110" i="2"/>
  <c r="O410" i="2"/>
  <c r="F32" i="7"/>
  <c r="I463" i="2"/>
  <c r="BC463" i="2" s="1"/>
  <c r="BE463" i="2" s="1"/>
  <c r="BI463" i="2" s="1"/>
  <c r="G463" i="2"/>
  <c r="AE463" i="2" s="1"/>
  <c r="J339" i="2"/>
  <c r="J291" i="2"/>
  <c r="BC291" i="2" s="1"/>
  <c r="H201" i="7"/>
  <c r="G64" i="2"/>
  <c r="J64" i="2"/>
  <c r="G462" i="2"/>
  <c r="J462" i="2"/>
  <c r="G291" i="2"/>
  <c r="J414" i="2"/>
  <c r="H489" i="2"/>
  <c r="I464" i="2"/>
  <c r="H463" i="2"/>
  <c r="G339" i="2"/>
  <c r="AI339" i="2" s="1"/>
  <c r="H339" i="2"/>
  <c r="AI23" i="7"/>
  <c r="AJ20" i="7"/>
  <c r="AJ23" i="7"/>
  <c r="AJ22" i="7"/>
  <c r="AH22" i="7"/>
  <c r="AH20" i="7"/>
  <c r="Q49" i="7"/>
  <c r="AN49" i="7" s="1"/>
  <c r="AA51" i="7"/>
  <c r="Q51" i="7" s="1"/>
  <c r="AN51" i="7" s="1"/>
  <c r="AI22" i="7"/>
  <c r="H493" i="2"/>
  <c r="H36" i="7"/>
  <c r="I488" i="2"/>
  <c r="H416" i="2"/>
  <c r="J389" i="2"/>
  <c r="J364" i="2"/>
  <c r="G337" i="2"/>
  <c r="H312" i="2"/>
  <c r="I490" i="2"/>
  <c r="H391" i="2"/>
  <c r="J366" i="2"/>
  <c r="J312" i="2"/>
  <c r="H316" i="2"/>
  <c r="J290" i="2"/>
  <c r="I390" i="2"/>
  <c r="G389" i="2"/>
  <c r="I489" i="2"/>
  <c r="O364" i="2"/>
  <c r="H288" i="2"/>
  <c r="G366" i="2"/>
  <c r="I341" i="2"/>
  <c r="I313" i="2"/>
  <c r="G362" i="2"/>
  <c r="I363" i="2"/>
  <c r="P339" i="2"/>
  <c r="H490" i="2"/>
  <c r="J317" i="2"/>
  <c r="G338" i="2"/>
  <c r="N339" i="2"/>
  <c r="G316" i="2"/>
  <c r="F284" i="7"/>
  <c r="G112" i="2"/>
  <c r="H62" i="2"/>
  <c r="H66" i="2"/>
  <c r="G212" i="2"/>
  <c r="H189" i="2"/>
  <c r="G87" i="7"/>
  <c r="H165" i="7"/>
  <c r="I389" i="2"/>
  <c r="G33" i="7"/>
  <c r="J63" i="2"/>
  <c r="H88" i="2"/>
  <c r="H112" i="2"/>
  <c r="H164" i="2"/>
  <c r="G86" i="7"/>
  <c r="J365" i="2"/>
  <c r="J89" i="2"/>
  <c r="H163" i="2"/>
  <c r="J213" i="2"/>
  <c r="H492" i="2"/>
  <c r="G313" i="2"/>
  <c r="H215" i="2"/>
  <c r="I412" i="2"/>
  <c r="I413" i="2"/>
  <c r="G341" i="2"/>
  <c r="I314" i="2"/>
  <c r="H284" i="7"/>
  <c r="J37" i="2"/>
  <c r="J164" i="2"/>
  <c r="J237" i="2"/>
  <c r="J214" i="2"/>
  <c r="P32" i="7"/>
  <c r="G469" i="2"/>
  <c r="G465" i="2"/>
  <c r="G264" i="2"/>
  <c r="G213" i="2"/>
  <c r="G164" i="2"/>
  <c r="H139" i="2"/>
  <c r="I468" i="2"/>
  <c r="J187" i="2"/>
  <c r="H468" i="2"/>
  <c r="G238" i="2"/>
  <c r="G189" i="2"/>
  <c r="G140" i="2"/>
  <c r="J465" i="2"/>
  <c r="G239" i="2"/>
  <c r="I62" i="2"/>
  <c r="G487" i="2"/>
  <c r="I465" i="2"/>
  <c r="I287" i="2"/>
  <c r="G66" i="2"/>
  <c r="J487" i="2"/>
  <c r="J466" i="2"/>
  <c r="G290" i="2"/>
  <c r="G188" i="2"/>
  <c r="G90" i="2"/>
  <c r="G491" i="2"/>
  <c r="I466" i="2"/>
  <c r="I289" i="2"/>
  <c r="I187" i="2"/>
  <c r="I88" i="2"/>
  <c r="J492" i="2"/>
  <c r="G412" i="2"/>
  <c r="J412" i="2"/>
  <c r="J390" i="2"/>
  <c r="H366" i="2"/>
  <c r="H341" i="2"/>
  <c r="H313" i="2"/>
  <c r="J287" i="2"/>
  <c r="H488" i="2"/>
  <c r="O339" i="2"/>
  <c r="J313" i="2"/>
  <c r="H317" i="2"/>
  <c r="H292" i="2"/>
  <c r="G390" i="2"/>
  <c r="J415" i="2"/>
  <c r="J340" i="2"/>
  <c r="G363" i="2"/>
  <c r="N364" i="2"/>
  <c r="I317" i="2"/>
  <c r="I492" i="2"/>
  <c r="Q364" i="2"/>
  <c r="I365" i="2"/>
  <c r="G340" i="2"/>
  <c r="I315" i="2"/>
  <c r="H137" i="2"/>
  <c r="H89" i="2"/>
  <c r="H63" i="2"/>
  <c r="J162" i="2"/>
  <c r="H263" i="2"/>
  <c r="H238" i="2"/>
  <c r="J212" i="2"/>
  <c r="G415" i="2"/>
  <c r="G315" i="2"/>
  <c r="G37" i="2"/>
  <c r="G62" i="2"/>
  <c r="J87" i="2"/>
  <c r="J113" i="2"/>
  <c r="H262" i="2"/>
  <c r="H237" i="2"/>
  <c r="H413" i="2"/>
  <c r="J39" i="2"/>
  <c r="J88" i="2"/>
  <c r="Q214" i="2"/>
  <c r="H389" i="2"/>
  <c r="J112" i="2"/>
  <c r="H187" i="2"/>
  <c r="H362" i="2"/>
  <c r="H287" i="2"/>
  <c r="G413" i="2"/>
  <c r="G317" i="2"/>
  <c r="G262" i="2"/>
  <c r="H213" i="2"/>
  <c r="H191" i="2"/>
  <c r="G187" i="2"/>
  <c r="G468" i="2"/>
  <c r="I292" i="2"/>
  <c r="I239" i="2"/>
  <c r="I190" i="2"/>
  <c r="G113" i="2"/>
  <c r="H37" i="2"/>
  <c r="I467" i="2"/>
  <c r="N134" i="7"/>
  <c r="P33" i="7"/>
  <c r="H467" i="2"/>
  <c r="G289" i="2"/>
  <c r="I215" i="2"/>
  <c r="G88" i="2"/>
  <c r="I214" i="2"/>
  <c r="G494" i="2"/>
  <c r="N68" i="7"/>
  <c r="I238" i="2"/>
  <c r="I140" i="2"/>
  <c r="J493" i="2"/>
  <c r="I263" i="2"/>
  <c r="I163" i="2"/>
  <c r="I65" i="2"/>
  <c r="G489" i="2"/>
  <c r="N87" i="7"/>
  <c r="G263" i="2"/>
  <c r="G163" i="2"/>
  <c r="G65" i="2"/>
  <c r="J490" i="2"/>
  <c r="H33" i="7"/>
  <c r="H494" i="2"/>
  <c r="J413" i="2"/>
  <c r="J387" i="2"/>
  <c r="J362" i="2"/>
  <c r="H314" i="2"/>
  <c r="J288" i="2"/>
  <c r="H415" i="2"/>
  <c r="J363" i="2"/>
  <c r="H337" i="2"/>
  <c r="J341" i="2"/>
  <c r="J314" i="2"/>
  <c r="I415" i="2"/>
  <c r="G391" i="2"/>
  <c r="J391" i="2"/>
  <c r="G364" i="2"/>
  <c r="G387" i="2"/>
  <c r="J338" i="2"/>
  <c r="G416" i="2"/>
  <c r="H388" i="2"/>
  <c r="J139" i="2"/>
  <c r="H87" i="2"/>
  <c r="H113" i="2"/>
  <c r="J163" i="2"/>
  <c r="H264" i="2"/>
  <c r="H239" i="2"/>
  <c r="H364" i="2"/>
  <c r="J137" i="2"/>
  <c r="G89" i="2"/>
  <c r="J65" i="2"/>
  <c r="J90" i="2"/>
  <c r="J263" i="2"/>
  <c r="J238" i="2"/>
  <c r="J188" i="2"/>
  <c r="H387" i="2"/>
  <c r="I416" i="2"/>
  <c r="I366" i="2"/>
  <c r="G137" i="2"/>
  <c r="G237" i="2"/>
  <c r="J216" i="2"/>
  <c r="J140" i="2"/>
  <c r="H212" i="2"/>
  <c r="H190" i="2"/>
  <c r="J337" i="2"/>
  <c r="G314" i="2"/>
  <c r="G284" i="7"/>
  <c r="J292" i="2"/>
  <c r="I337" i="2"/>
  <c r="O214" i="2"/>
  <c r="G467" i="2"/>
  <c r="I290" i="2"/>
  <c r="I237" i="2"/>
  <c r="I188" i="2"/>
  <c r="I139" i="2"/>
  <c r="I90" i="2"/>
  <c r="N165" i="7"/>
  <c r="I37" i="2"/>
  <c r="H466" i="2"/>
  <c r="I264" i="2"/>
  <c r="I213" i="2"/>
  <c r="I164" i="2"/>
  <c r="J215" i="2"/>
  <c r="G190" i="2"/>
  <c r="I112" i="2"/>
  <c r="G492" i="2"/>
  <c r="G214" i="2"/>
  <c r="J491" i="2"/>
  <c r="I216" i="2"/>
  <c r="G139" i="2"/>
  <c r="I63" i="2"/>
  <c r="I487" i="2"/>
  <c r="I39" i="2"/>
  <c r="G216" i="2"/>
  <c r="G63" i="2"/>
  <c r="H487" i="2"/>
  <c r="H31" i="7"/>
  <c r="F31" i="7"/>
  <c r="H491" i="2"/>
  <c r="I491" i="2"/>
  <c r="J388" i="2"/>
  <c r="H363" i="2"/>
  <c r="H315" i="2"/>
  <c r="H290" i="2"/>
  <c r="I391" i="2"/>
  <c r="I493" i="2"/>
  <c r="J416" i="2"/>
  <c r="H365" i="2"/>
  <c r="H338" i="2"/>
  <c r="J315" i="2"/>
  <c r="H289" i="2"/>
  <c r="G388" i="2"/>
  <c r="I494" i="2"/>
  <c r="J316" i="2"/>
  <c r="I387" i="2"/>
  <c r="G365" i="2"/>
  <c r="I340" i="2"/>
  <c r="I312" i="2"/>
  <c r="H390" i="2"/>
  <c r="Q339" i="2"/>
  <c r="I362" i="2"/>
  <c r="I338" i="2"/>
  <c r="I316" i="2"/>
  <c r="H340" i="2"/>
  <c r="I388" i="2"/>
  <c r="P364" i="2"/>
  <c r="H65" i="2"/>
  <c r="H90" i="2"/>
  <c r="H188" i="2"/>
  <c r="J289" i="2"/>
  <c r="H140" i="2"/>
  <c r="H39" i="2"/>
  <c r="J62" i="2"/>
  <c r="J66" i="2"/>
  <c r="J264" i="2"/>
  <c r="J239" i="2"/>
  <c r="J189" i="2"/>
  <c r="J191" i="2"/>
  <c r="I89" i="2"/>
  <c r="H214" i="2"/>
  <c r="G312" i="2"/>
  <c r="I364" i="2"/>
  <c r="H412" i="2"/>
  <c r="G287" i="2"/>
  <c r="G162" i="2"/>
  <c r="H162" i="2"/>
  <c r="H216" i="2"/>
  <c r="G39" i="2"/>
  <c r="G466" i="2"/>
  <c r="I288" i="2"/>
  <c r="G215" i="2"/>
  <c r="I137" i="2"/>
  <c r="I87" i="2"/>
  <c r="G117" i="7"/>
  <c r="I469" i="2"/>
  <c r="J262" i="2"/>
  <c r="H469" i="2"/>
  <c r="H465" i="2"/>
  <c r="I262" i="2"/>
  <c r="G191" i="2"/>
  <c r="I162" i="2"/>
  <c r="I113" i="2"/>
  <c r="G87" i="2"/>
  <c r="J468" i="2"/>
  <c r="G288" i="2"/>
  <c r="I66" i="2"/>
  <c r="G490" i="2"/>
  <c r="P214" i="2"/>
  <c r="J467" i="2"/>
  <c r="I189" i="2"/>
  <c r="J489" i="2"/>
  <c r="P31" i="7"/>
  <c r="I212" i="2"/>
  <c r="G493" i="2"/>
  <c r="J190" i="2"/>
  <c r="J469" i="2"/>
  <c r="G292" i="2"/>
  <c r="I191" i="2"/>
  <c r="J494" i="2"/>
  <c r="N214" i="2"/>
  <c r="H32" i="7"/>
  <c r="AE51" i="8"/>
  <c r="AG51" i="8"/>
  <c r="AF51" i="8"/>
  <c r="AD50" i="8"/>
  <c r="AC50" i="8" s="1"/>
  <c r="N50" i="8" s="1"/>
  <c r="Q50" i="8" s="1"/>
  <c r="AG50" i="8"/>
  <c r="AD19" i="7"/>
  <c r="AC19" i="7"/>
  <c r="AB19" i="7"/>
  <c r="AA19" i="7" s="1"/>
  <c r="P19" i="7" s="1"/>
  <c r="AE19" i="7"/>
  <c r="AD17" i="7"/>
  <c r="AB17" i="7"/>
  <c r="AA17" i="7" s="1"/>
  <c r="P17" i="7" s="1"/>
  <c r="AE17" i="7"/>
  <c r="AC17" i="7"/>
  <c r="AA54" i="7"/>
  <c r="Q52" i="7"/>
  <c r="AE18" i="7"/>
  <c r="AC18" i="7"/>
  <c r="AB18" i="7"/>
  <c r="AA18" i="7" s="1"/>
  <c r="P18" i="7" s="1"/>
  <c r="AD18" i="7"/>
  <c r="AB21" i="7"/>
  <c r="AA21" i="7" s="1"/>
  <c r="P21" i="7" s="1"/>
  <c r="AD21" i="7"/>
  <c r="AC21" i="7"/>
  <c r="AE21" i="7"/>
  <c r="AN53" i="7"/>
  <c r="AB23" i="7"/>
  <c r="AA23" i="7" s="1"/>
  <c r="P23" i="7" s="1"/>
  <c r="AE23" i="7"/>
  <c r="AD23" i="7"/>
  <c r="AC23" i="7"/>
  <c r="AE22" i="7"/>
  <c r="AD22" i="7"/>
  <c r="AC22" i="7"/>
  <c r="AB22" i="7"/>
  <c r="AA22" i="7" s="1"/>
  <c r="P22" i="7" s="1"/>
  <c r="AC20" i="7"/>
  <c r="AD20" i="7"/>
  <c r="AB20" i="7"/>
  <c r="AA20" i="7" s="1"/>
  <c r="P20" i="7" s="1"/>
  <c r="AE20" i="7"/>
  <c r="AB50" i="8"/>
  <c r="AA50" i="8"/>
  <c r="Y50" i="8"/>
  <c r="X50" i="8" s="1"/>
  <c r="M50" i="8" s="1"/>
  <c r="P50" i="8" s="1"/>
  <c r="Z50" i="8"/>
  <c r="Y61" i="8"/>
  <c r="X61" i="8" s="1"/>
  <c r="M61" i="8" s="1"/>
  <c r="P61" i="8" s="1"/>
  <c r="P70" i="8" s="1"/>
  <c r="P71" i="8" s="1"/>
  <c r="AB61" i="8"/>
  <c r="R61" i="8"/>
  <c r="R70" i="8" s="1"/>
  <c r="R71" i="8" s="1"/>
  <c r="R25" i="8" s="1"/>
  <c r="AA61" i="8"/>
  <c r="Z61" i="8"/>
  <c r="Z51" i="8"/>
  <c r="AB51" i="8"/>
  <c r="AA51" i="8"/>
  <c r="Y51" i="8"/>
  <c r="X51" i="8" s="1"/>
  <c r="M51" i="8" s="1"/>
  <c r="P51" i="8" s="1"/>
  <c r="H277" i="7" l="1"/>
  <c r="H68" i="7"/>
  <c r="G116" i="7"/>
  <c r="H69" i="7"/>
  <c r="G169" i="7"/>
  <c r="G282" i="7"/>
  <c r="BC337" i="2"/>
  <c r="N149" i="7"/>
  <c r="P36" i="7"/>
  <c r="H276" i="7"/>
  <c r="L276" i="7" s="1"/>
  <c r="G231" i="7"/>
  <c r="N164" i="7"/>
  <c r="F151" i="7"/>
  <c r="N246" i="7"/>
  <c r="F277" i="7"/>
  <c r="H184" i="7"/>
  <c r="F168" i="7"/>
  <c r="N69" i="7"/>
  <c r="G84" i="7"/>
  <c r="G276" i="7"/>
  <c r="F70" i="7"/>
  <c r="F164" i="7"/>
  <c r="H230" i="7"/>
  <c r="G132" i="7"/>
  <c r="F246" i="7"/>
  <c r="G68" i="7"/>
  <c r="M68" i="7" s="1"/>
  <c r="G165" i="7"/>
  <c r="H282" i="7"/>
  <c r="M282" i="7" s="1"/>
  <c r="F149" i="7"/>
  <c r="G168" i="7"/>
  <c r="N84" i="7"/>
  <c r="H132" i="7"/>
  <c r="AI463" i="2"/>
  <c r="H149" i="7"/>
  <c r="N276" i="7"/>
  <c r="G164" i="7"/>
  <c r="F72" i="7"/>
  <c r="H71" i="7"/>
  <c r="H148" i="7"/>
  <c r="H88" i="7"/>
  <c r="G134" i="7"/>
  <c r="G230" i="7"/>
  <c r="N148" i="7"/>
  <c r="H136" i="7"/>
  <c r="N279" i="7"/>
  <c r="N88" i="7"/>
  <c r="G70" i="7"/>
  <c r="F282" i="7"/>
  <c r="L282" i="7" s="1"/>
  <c r="N117" i="7"/>
  <c r="N230" i="7"/>
  <c r="H231" i="7"/>
  <c r="M231" i="7" s="1"/>
  <c r="H117" i="7"/>
  <c r="M117" i="7" s="1"/>
  <c r="G149" i="7"/>
  <c r="F36" i="7"/>
  <c r="N132" i="7"/>
  <c r="H86" i="7"/>
  <c r="M86" i="7" s="1"/>
  <c r="F148" i="7"/>
  <c r="H164" i="7"/>
  <c r="F132" i="7"/>
  <c r="G69" i="7"/>
  <c r="M69" i="7" s="1"/>
  <c r="N116" i="7"/>
  <c r="G246" i="7"/>
  <c r="H151" i="7"/>
  <c r="BC89" i="2"/>
  <c r="BE89" i="2" s="1"/>
  <c r="BI89" i="2" s="1"/>
  <c r="H246" i="7"/>
  <c r="G277" i="7"/>
  <c r="M277" i="7" s="1"/>
  <c r="H72" i="7"/>
  <c r="F165" i="7"/>
  <c r="L165" i="7" s="1"/>
  <c r="G148" i="7"/>
  <c r="F134" i="7"/>
  <c r="H70" i="7"/>
  <c r="N71" i="7"/>
  <c r="G36" i="7"/>
  <c r="O36" i="7" s="1"/>
  <c r="N183" i="7"/>
  <c r="F87" i="7"/>
  <c r="H87" i="7"/>
  <c r="M87" i="7" s="1"/>
  <c r="H134" i="7"/>
  <c r="H116" i="7"/>
  <c r="M116" i="7" s="1"/>
  <c r="N70" i="7"/>
  <c r="N86" i="7"/>
  <c r="F230" i="7"/>
  <c r="L230" i="7" s="1"/>
  <c r="H200" i="7"/>
  <c r="BC187" i="2"/>
  <c r="BG187" i="2" s="1"/>
  <c r="G71" i="7"/>
  <c r="G184" i="7"/>
  <c r="G88" i="7"/>
  <c r="H169" i="7"/>
  <c r="G120" i="7"/>
  <c r="H90" i="7"/>
  <c r="F69" i="7"/>
  <c r="H84" i="7"/>
  <c r="M84" i="7" s="1"/>
  <c r="F117" i="7"/>
  <c r="L117" i="7" s="1"/>
  <c r="BC213" i="2"/>
  <c r="BD213" i="2" s="1"/>
  <c r="BH213" i="2" s="1"/>
  <c r="AI464" i="2"/>
  <c r="F86" i="7"/>
  <c r="F68" i="7"/>
  <c r="L68" i="7" s="1"/>
  <c r="N277" i="7"/>
  <c r="AT488" i="2"/>
  <c r="AU488" i="2" s="1"/>
  <c r="AY488" i="2" s="1"/>
  <c r="N73" i="7"/>
  <c r="N120" i="7"/>
  <c r="G200" i="7"/>
  <c r="F116" i="7"/>
  <c r="F84" i="7"/>
  <c r="L84" i="7" s="1"/>
  <c r="BC488" i="2"/>
  <c r="BG488" i="2" s="1"/>
  <c r="F200" i="7"/>
  <c r="F88" i="7"/>
  <c r="F184" i="7"/>
  <c r="F71" i="7"/>
  <c r="BC37" i="2"/>
  <c r="BD37" i="2" s="1"/>
  <c r="BH37" i="2" s="1"/>
  <c r="BC312" i="2"/>
  <c r="BG312" i="2" s="1"/>
  <c r="M169" i="7"/>
  <c r="BC113" i="2"/>
  <c r="BG113" i="2" s="1"/>
  <c r="AI488" i="2"/>
  <c r="N199" i="7"/>
  <c r="N152" i="7"/>
  <c r="BC87" i="2"/>
  <c r="BG87" i="2" s="1"/>
  <c r="N151" i="7"/>
  <c r="H280" i="7"/>
  <c r="H89" i="7"/>
  <c r="G199" i="7"/>
  <c r="G73" i="7"/>
  <c r="G247" i="7"/>
  <c r="N231" i="7"/>
  <c r="F279" i="7"/>
  <c r="F152" i="7"/>
  <c r="F73" i="7"/>
  <c r="H73" i="7"/>
  <c r="G136" i="7"/>
  <c r="M136" i="7" s="1"/>
  <c r="H279" i="7"/>
  <c r="M279" i="7" s="1"/>
  <c r="H247" i="7"/>
  <c r="BC137" i="2"/>
  <c r="BG137" i="2" s="1"/>
  <c r="F247" i="7"/>
  <c r="H137" i="7"/>
  <c r="H168" i="7"/>
  <c r="M168" i="7" s="1"/>
  <c r="N72" i="7"/>
  <c r="N89" i="7"/>
  <c r="F89" i="7"/>
  <c r="F231" i="7"/>
  <c r="G89" i="7"/>
  <c r="M89" i="7" s="1"/>
  <c r="F280" i="7"/>
  <c r="G183" i="7"/>
  <c r="H199" i="7"/>
  <c r="F119" i="7"/>
  <c r="N119" i="7"/>
  <c r="G151" i="7"/>
  <c r="N136" i="7"/>
  <c r="G72" i="7"/>
  <c r="M72" i="7" s="1"/>
  <c r="F74" i="7"/>
  <c r="F136" i="7"/>
  <c r="AT487" i="2"/>
  <c r="AX487" i="2" s="1"/>
  <c r="F199" i="7"/>
  <c r="N168" i="7"/>
  <c r="F183" i="7"/>
  <c r="N247" i="7"/>
  <c r="G119" i="7"/>
  <c r="H119" i="7"/>
  <c r="H183" i="7"/>
  <c r="M183" i="7" s="1"/>
  <c r="AT414" i="2"/>
  <c r="AU414" i="2" s="1"/>
  <c r="AY414" i="2" s="1"/>
  <c r="AT463" i="2"/>
  <c r="AU463" i="2" s="1"/>
  <c r="AY463" i="2" s="1"/>
  <c r="AT89" i="2"/>
  <c r="AX89" i="2" s="1"/>
  <c r="BD463" i="2"/>
  <c r="BH463" i="2" s="1"/>
  <c r="BC63" i="2"/>
  <c r="BG63" i="2" s="1"/>
  <c r="F153" i="7"/>
  <c r="M132" i="7"/>
  <c r="AT415" i="2"/>
  <c r="AX415" i="2" s="1"/>
  <c r="N36" i="7"/>
  <c r="AT37" i="2"/>
  <c r="AU37" i="2" s="1"/>
  <c r="AY37" i="2" s="1"/>
  <c r="G121" i="7"/>
  <c r="N32" i="7"/>
  <c r="BC212" i="2"/>
  <c r="BG212" i="2" s="1"/>
  <c r="G170" i="7"/>
  <c r="G138" i="7"/>
  <c r="BC364" i="2"/>
  <c r="BE364" i="2" s="1"/>
  <c r="BI364" i="2" s="1"/>
  <c r="H138" i="7"/>
  <c r="AT290" i="2"/>
  <c r="AV290" i="2" s="1"/>
  <c r="AZ290" i="2" s="1"/>
  <c r="BC290" i="2"/>
  <c r="BD290" i="2" s="1"/>
  <c r="BH290" i="2" s="1"/>
  <c r="M284" i="7"/>
  <c r="AT364" i="2"/>
  <c r="AV364" i="2" s="1"/>
  <c r="AZ364" i="2" s="1"/>
  <c r="G91" i="7"/>
  <c r="G281" i="7"/>
  <c r="BG463" i="2"/>
  <c r="BC493" i="2"/>
  <c r="BE493" i="2" s="1"/>
  <c r="BI493" i="2" s="1"/>
  <c r="BC366" i="2"/>
  <c r="BG366" i="2" s="1"/>
  <c r="AT465" i="2"/>
  <c r="AV465" i="2" s="1"/>
  <c r="AZ465" i="2" s="1"/>
  <c r="H170" i="7"/>
  <c r="H120" i="7"/>
  <c r="F91" i="7"/>
  <c r="G137" i="7"/>
  <c r="F121" i="7"/>
  <c r="H281" i="7"/>
  <c r="F137" i="7"/>
  <c r="H91" i="7"/>
  <c r="F138" i="7"/>
  <c r="G153" i="7"/>
  <c r="F281" i="7"/>
  <c r="N280" i="7"/>
  <c r="F170" i="7"/>
  <c r="L170" i="7" s="1"/>
  <c r="H152" i="7"/>
  <c r="H74" i="7"/>
  <c r="F90" i="7"/>
  <c r="G74" i="7"/>
  <c r="H121" i="7"/>
  <c r="F120" i="7"/>
  <c r="H153" i="7"/>
  <c r="G90" i="7"/>
  <c r="F169" i="7"/>
  <c r="G152" i="7"/>
  <c r="G280" i="7"/>
  <c r="AT187" i="2"/>
  <c r="AV187" i="2" s="1"/>
  <c r="AZ187" i="2" s="1"/>
  <c r="AT63" i="2"/>
  <c r="AU63" i="2" s="1"/>
  <c r="AY63" i="2" s="1"/>
  <c r="BC112" i="2"/>
  <c r="BG112" i="2" s="1"/>
  <c r="BC340" i="2"/>
  <c r="BG340" i="2" s="1"/>
  <c r="AT340" i="2"/>
  <c r="AU340" i="2" s="1"/>
  <c r="AY340" i="2" s="1"/>
  <c r="BC164" i="2"/>
  <c r="BE164" i="2" s="1"/>
  <c r="BI164" i="2" s="1"/>
  <c r="AU214" i="2"/>
  <c r="AY214" i="2" s="1"/>
  <c r="AT212" i="2"/>
  <c r="AU212" i="2" s="1"/>
  <c r="AY212" i="2" s="1"/>
  <c r="AT113" i="2"/>
  <c r="AU113" i="2" s="1"/>
  <c r="AY113" i="2" s="1"/>
  <c r="BC64" i="2"/>
  <c r="BD64" i="2" s="1"/>
  <c r="BH64" i="2" s="1"/>
  <c r="N51" i="8"/>
  <c r="Q51" i="8" s="1"/>
  <c r="Q55" i="7"/>
  <c r="AF53" i="7"/>
  <c r="AF55" i="7" s="1"/>
  <c r="R50" i="7"/>
  <c r="AF52" i="7"/>
  <c r="R52" i="7" s="1"/>
  <c r="R49" i="7"/>
  <c r="AT87" i="2"/>
  <c r="AU87" i="2" s="1"/>
  <c r="AY87" i="2" s="1"/>
  <c r="AT491" i="2"/>
  <c r="AV491" i="2" s="1"/>
  <c r="AZ491" i="2" s="1"/>
  <c r="AT339" i="2"/>
  <c r="AV339" i="2" s="1"/>
  <c r="AZ339" i="2" s="1"/>
  <c r="BC216" i="2"/>
  <c r="BG216" i="2" s="1"/>
  <c r="AT389" i="2"/>
  <c r="AX389" i="2" s="1"/>
  <c r="AI414" i="2"/>
  <c r="AT214" i="2"/>
  <c r="AX214" i="2" s="1"/>
  <c r="BD364" i="2"/>
  <c r="BH364" i="2" s="1"/>
  <c r="AE339" i="2"/>
  <c r="BC214" i="2"/>
  <c r="BE214" i="2" s="1"/>
  <c r="BI214" i="2" s="1"/>
  <c r="AT213" i="2"/>
  <c r="AV213" i="2" s="1"/>
  <c r="AZ213" i="2" s="1"/>
  <c r="BC464" i="2"/>
  <c r="BC462" i="2"/>
  <c r="BE462" i="2" s="1"/>
  <c r="BI462" i="2" s="1"/>
  <c r="L201" i="7"/>
  <c r="BC162" i="2"/>
  <c r="BD162" i="2" s="1"/>
  <c r="BH162" i="2" s="1"/>
  <c r="AT162" i="2"/>
  <c r="AV162" i="2" s="1"/>
  <c r="AZ162" i="2" s="1"/>
  <c r="BC237" i="2"/>
  <c r="BE237" i="2" s="1"/>
  <c r="BI237" i="2" s="1"/>
  <c r="AT338" i="2"/>
  <c r="AX338" i="2" s="1"/>
  <c r="M165" i="7"/>
  <c r="AT237" i="2"/>
  <c r="AU237" i="2" s="1"/>
  <c r="AY237" i="2" s="1"/>
  <c r="BC339" i="2"/>
  <c r="BM76" i="2"/>
  <c r="D80" i="4"/>
  <c r="C81" i="4"/>
  <c r="B82" i="4"/>
  <c r="AT390" i="2"/>
  <c r="AX390" i="2" s="1"/>
  <c r="BD214" i="2"/>
  <c r="BH214" i="2" s="1"/>
  <c r="AT39" i="2"/>
  <c r="AV39" i="2" s="1"/>
  <c r="AZ39" i="2" s="1"/>
  <c r="BC487" i="2"/>
  <c r="BD487" i="2" s="1"/>
  <c r="BH487" i="2" s="1"/>
  <c r="AT291" i="2"/>
  <c r="BC39" i="2"/>
  <c r="BG39" i="2" s="1"/>
  <c r="AT317" i="2"/>
  <c r="AU317" i="2" s="1"/>
  <c r="AY317" i="2" s="1"/>
  <c r="BC317" i="2"/>
  <c r="BD317" i="2" s="1"/>
  <c r="BH317" i="2" s="1"/>
  <c r="AT366" i="2"/>
  <c r="AV366" i="2" s="1"/>
  <c r="AZ366" i="2" s="1"/>
  <c r="BC365" i="2"/>
  <c r="BE365" i="2" s="1"/>
  <c r="BI365" i="2" s="1"/>
  <c r="M201" i="7"/>
  <c r="AT462" i="2"/>
  <c r="AT489" i="2"/>
  <c r="AU489" i="2" s="1"/>
  <c r="AY489" i="2" s="1"/>
  <c r="BC66" i="2"/>
  <c r="BG66" i="2" s="1"/>
  <c r="AT65" i="2"/>
  <c r="AX65" i="2" s="1"/>
  <c r="AT315" i="2"/>
  <c r="AU315" i="2" s="1"/>
  <c r="AY315" i="2" s="1"/>
  <c r="BC415" i="2"/>
  <c r="BE415" i="2" s="1"/>
  <c r="BI415" i="2" s="1"/>
  <c r="AT314" i="2"/>
  <c r="AX314" i="2" s="1"/>
  <c r="AT412" i="2"/>
  <c r="AV412" i="2" s="1"/>
  <c r="AZ412" i="2" s="1"/>
  <c r="AT365" i="2"/>
  <c r="AX365" i="2" s="1"/>
  <c r="AT466" i="2"/>
  <c r="AU466" i="2" s="1"/>
  <c r="AY466" i="2" s="1"/>
  <c r="L164" i="7"/>
  <c r="BC389" i="2"/>
  <c r="BE389" i="2" s="1"/>
  <c r="BI389" i="2" s="1"/>
  <c r="AT140" i="2"/>
  <c r="AU140" i="2" s="1"/>
  <c r="AY140" i="2" s="1"/>
  <c r="AT90" i="2"/>
  <c r="AU90" i="2" s="1"/>
  <c r="AY90" i="2" s="1"/>
  <c r="BC391" i="2"/>
  <c r="BG391" i="2" s="1"/>
  <c r="AT363" i="2"/>
  <c r="AU363" i="2" s="1"/>
  <c r="AY363" i="2" s="1"/>
  <c r="BC90" i="2"/>
  <c r="BE90" i="2" s="1"/>
  <c r="BI90" i="2" s="1"/>
  <c r="AT413" i="2"/>
  <c r="AU413" i="2" s="1"/>
  <c r="AY413" i="2" s="1"/>
  <c r="AT164" i="2"/>
  <c r="AU164" i="2" s="1"/>
  <c r="AY164" i="2" s="1"/>
  <c r="L284" i="7"/>
  <c r="BC414" i="2"/>
  <c r="AT64" i="2"/>
  <c r="AU64" i="2" s="1"/>
  <c r="AY64" i="2" s="1"/>
  <c r="BE291" i="2"/>
  <c r="BI291" i="2" s="1"/>
  <c r="BG291" i="2"/>
  <c r="BD291" i="2"/>
  <c r="BH291" i="2" s="1"/>
  <c r="AI291" i="2"/>
  <c r="AE291" i="2"/>
  <c r="AI64" i="2"/>
  <c r="AE64" i="2"/>
  <c r="AT469" i="2"/>
  <c r="AV469" i="2" s="1"/>
  <c r="AZ469" i="2" s="1"/>
  <c r="BC292" i="2"/>
  <c r="BD292" i="2" s="1"/>
  <c r="BH292" i="2" s="1"/>
  <c r="BC465" i="2"/>
  <c r="BD465" i="2" s="1"/>
  <c r="BH465" i="2" s="1"/>
  <c r="AI462" i="2"/>
  <c r="AE462" i="2"/>
  <c r="BC469" i="2"/>
  <c r="BG469" i="2" s="1"/>
  <c r="BC189" i="2"/>
  <c r="BE189" i="2" s="1"/>
  <c r="BI189" i="2" s="1"/>
  <c r="BC288" i="2"/>
  <c r="BG288" i="2" s="1"/>
  <c r="M70" i="7"/>
  <c r="AT188" i="2"/>
  <c r="AX188" i="2" s="1"/>
  <c r="BC388" i="2"/>
  <c r="BG388" i="2" s="1"/>
  <c r="BC338" i="2"/>
  <c r="BE338" i="2" s="1"/>
  <c r="BI338" i="2" s="1"/>
  <c r="BC362" i="2"/>
  <c r="BE362" i="2" s="1"/>
  <c r="BI362" i="2" s="1"/>
  <c r="BC494" i="2"/>
  <c r="BG494" i="2" s="1"/>
  <c r="BC188" i="2"/>
  <c r="BE188" i="2" s="1"/>
  <c r="BI188" i="2" s="1"/>
  <c r="AT387" i="2"/>
  <c r="AV387" i="2" s="1"/>
  <c r="AZ387" i="2" s="1"/>
  <c r="BC140" i="2"/>
  <c r="BD140" i="2" s="1"/>
  <c r="BH140" i="2" s="1"/>
  <c r="AT362" i="2"/>
  <c r="AX362" i="2" s="1"/>
  <c r="BC492" i="2"/>
  <c r="BD492" i="2" s="1"/>
  <c r="BH492" i="2" s="1"/>
  <c r="AE466" i="2"/>
  <c r="AI466" i="2"/>
  <c r="AI162" i="2"/>
  <c r="AE162" i="2"/>
  <c r="AE287" i="2"/>
  <c r="AI287" i="2"/>
  <c r="AE214" i="2"/>
  <c r="AI214" i="2"/>
  <c r="AV464" i="2"/>
  <c r="AZ464" i="2" s="1"/>
  <c r="AX464" i="2"/>
  <c r="AU464" i="2"/>
  <c r="AY464" i="2" s="1"/>
  <c r="BC191" i="2"/>
  <c r="AI87" i="2"/>
  <c r="AE87" i="2"/>
  <c r="BC262" i="2"/>
  <c r="AE215" i="2"/>
  <c r="AI215" i="2"/>
  <c r="AI39" i="2"/>
  <c r="AE39" i="2"/>
  <c r="AI312" i="2"/>
  <c r="AE312" i="2"/>
  <c r="BC316" i="2"/>
  <c r="AI365" i="2"/>
  <c r="AE365" i="2"/>
  <c r="BC387" i="2"/>
  <c r="AT289" i="2"/>
  <c r="BC491" i="2"/>
  <c r="AE63" i="2"/>
  <c r="AI63" i="2"/>
  <c r="AE139" i="2"/>
  <c r="AI139" i="2"/>
  <c r="AI492" i="2"/>
  <c r="AE492" i="2"/>
  <c r="BC139" i="2"/>
  <c r="AE467" i="2"/>
  <c r="AI467" i="2"/>
  <c r="AI314" i="2"/>
  <c r="AE314" i="2"/>
  <c r="BC416" i="2"/>
  <c r="AI387" i="2"/>
  <c r="AE387" i="2"/>
  <c r="AE364" i="2"/>
  <c r="AI364" i="2"/>
  <c r="BC163" i="2"/>
  <c r="AT467" i="2"/>
  <c r="BC467" i="2"/>
  <c r="AI468" i="2"/>
  <c r="AE468" i="2"/>
  <c r="AI262" i="2"/>
  <c r="AE262" i="2"/>
  <c r="AT287" i="2"/>
  <c r="AE37" i="2"/>
  <c r="AI37" i="2"/>
  <c r="AI315" i="2"/>
  <c r="AE315" i="2"/>
  <c r="AT238" i="2"/>
  <c r="AT292" i="2"/>
  <c r="AT313" i="2"/>
  <c r="BE187" i="2"/>
  <c r="BI187" i="2" s="1"/>
  <c r="AI290" i="2"/>
  <c r="AE290" i="2"/>
  <c r="AE66" i="2"/>
  <c r="AI66" i="2"/>
  <c r="AI238" i="2"/>
  <c r="AE238" i="2"/>
  <c r="AI264" i="2"/>
  <c r="AE264" i="2"/>
  <c r="AT492" i="2"/>
  <c r="AT112" i="2"/>
  <c r="O33" i="7"/>
  <c r="AT62" i="2"/>
  <c r="AJ339" i="2"/>
  <c r="AF339" i="2"/>
  <c r="AT490" i="2"/>
  <c r="AE362" i="2"/>
  <c r="AI362" i="2"/>
  <c r="AE366" i="2"/>
  <c r="AI366" i="2"/>
  <c r="AU364" i="2"/>
  <c r="AY364" i="2" s="1"/>
  <c r="AT391" i="2"/>
  <c r="AE292" i="2"/>
  <c r="AI292" i="2"/>
  <c r="AI493" i="2"/>
  <c r="AE493" i="2"/>
  <c r="AI288" i="2"/>
  <c r="AE288" i="2"/>
  <c r="BD337" i="2"/>
  <c r="BH337" i="2" s="1"/>
  <c r="BG337" i="2"/>
  <c r="BE337" i="2"/>
  <c r="BI337" i="2" s="1"/>
  <c r="AE89" i="2"/>
  <c r="AI89" i="2"/>
  <c r="AE391" i="2"/>
  <c r="AI391" i="2"/>
  <c r="AT494" i="2"/>
  <c r="AE65" i="2"/>
  <c r="AI65" i="2"/>
  <c r="BC263" i="2"/>
  <c r="BC190" i="2"/>
  <c r="L277" i="7"/>
  <c r="AT263" i="2"/>
  <c r="AE363" i="2"/>
  <c r="AI363" i="2"/>
  <c r="AT341" i="2"/>
  <c r="BC289" i="2"/>
  <c r="AE491" i="2"/>
  <c r="AI491" i="2"/>
  <c r="AE239" i="2"/>
  <c r="AI239" i="2"/>
  <c r="AT215" i="2"/>
  <c r="AT88" i="2"/>
  <c r="AT189" i="2"/>
  <c r="AI112" i="2"/>
  <c r="AE112" i="2"/>
  <c r="AE316" i="2"/>
  <c r="AI316" i="2"/>
  <c r="AE338" i="2"/>
  <c r="AI338" i="2"/>
  <c r="BD339" i="2"/>
  <c r="BH339" i="2" s="1"/>
  <c r="BC363" i="2"/>
  <c r="BC489" i="2"/>
  <c r="AT316" i="2"/>
  <c r="BC490" i="2"/>
  <c r="AT493" i="2"/>
  <c r="AF214" i="2"/>
  <c r="AJ214" i="2"/>
  <c r="AE490" i="2"/>
  <c r="AI490" i="2"/>
  <c r="O31" i="7"/>
  <c r="AT216" i="2"/>
  <c r="AI388" i="2"/>
  <c r="AE388" i="2"/>
  <c r="N31" i="7"/>
  <c r="AE216" i="2"/>
  <c r="AI216" i="2"/>
  <c r="AE190" i="2"/>
  <c r="AI190" i="2"/>
  <c r="BC264" i="2"/>
  <c r="AT190" i="2"/>
  <c r="AE237" i="2"/>
  <c r="AI237" i="2"/>
  <c r="AE137" i="2"/>
  <c r="AI137" i="2"/>
  <c r="AT239" i="2"/>
  <c r="AE416" i="2"/>
  <c r="AI416" i="2"/>
  <c r="AE163" i="2"/>
  <c r="AI163" i="2"/>
  <c r="AE489" i="2"/>
  <c r="AI489" i="2"/>
  <c r="BC238" i="2"/>
  <c r="AE494" i="2"/>
  <c r="AI494" i="2"/>
  <c r="BC215" i="2"/>
  <c r="BC239" i="2"/>
  <c r="O32" i="7"/>
  <c r="AT191" i="2"/>
  <c r="AI340" i="2"/>
  <c r="AE340" i="2"/>
  <c r="AI390" i="2"/>
  <c r="AE390" i="2"/>
  <c r="AE412" i="2"/>
  <c r="AI412" i="2"/>
  <c r="BC466" i="2"/>
  <c r="AE90" i="2"/>
  <c r="AI90" i="2"/>
  <c r="BC287" i="2"/>
  <c r="AI487" i="2"/>
  <c r="AP487" i="2" s="1"/>
  <c r="AE487" i="2"/>
  <c r="AE495" i="2"/>
  <c r="AG498" i="2"/>
  <c r="AE502" i="2"/>
  <c r="K496" i="2" s="1"/>
  <c r="AF495" i="2"/>
  <c r="AG495" i="2"/>
  <c r="AE498" i="2"/>
  <c r="Z498" i="2"/>
  <c r="AU497" i="2" s="1"/>
  <c r="AI140" i="2"/>
  <c r="AE140" i="2"/>
  <c r="AT468" i="2"/>
  <c r="BC468" i="2"/>
  <c r="AE164" i="2"/>
  <c r="AI164" i="2"/>
  <c r="AI465" i="2"/>
  <c r="AE465" i="2"/>
  <c r="BC314" i="2"/>
  <c r="BC413" i="2"/>
  <c r="AI212" i="2"/>
  <c r="AE212" i="2"/>
  <c r="BC313" i="2"/>
  <c r="AI389" i="2"/>
  <c r="AE389" i="2"/>
  <c r="AT312" i="2"/>
  <c r="AT416" i="2"/>
  <c r="N33" i="7"/>
  <c r="AI191" i="2"/>
  <c r="AE191" i="2"/>
  <c r="AT264" i="2"/>
  <c r="AT388" i="2"/>
  <c r="AT337" i="2"/>
  <c r="AE263" i="2"/>
  <c r="AI263" i="2"/>
  <c r="BC65" i="2"/>
  <c r="AI88" i="2"/>
  <c r="AE88" i="2"/>
  <c r="AI289" i="2"/>
  <c r="AE289" i="2"/>
  <c r="AE113" i="2"/>
  <c r="AI113" i="2"/>
  <c r="AE187" i="2"/>
  <c r="AI187" i="2"/>
  <c r="AE317" i="2"/>
  <c r="AI317" i="2"/>
  <c r="AE413" i="2"/>
  <c r="AI413" i="2"/>
  <c r="AT262" i="2"/>
  <c r="AI62" i="2"/>
  <c r="AE62" i="2"/>
  <c r="AE415" i="2"/>
  <c r="AI415" i="2"/>
  <c r="AT137" i="2"/>
  <c r="BC315" i="2"/>
  <c r="AF364" i="2"/>
  <c r="AJ364" i="2"/>
  <c r="AU339" i="2"/>
  <c r="AY339" i="2" s="1"/>
  <c r="BC88" i="2"/>
  <c r="AI188" i="2"/>
  <c r="AE188" i="2"/>
  <c r="BC62" i="2"/>
  <c r="AE189" i="2"/>
  <c r="AI189" i="2"/>
  <c r="AT139" i="2"/>
  <c r="AI213" i="2"/>
  <c r="AE213" i="2"/>
  <c r="AE469" i="2"/>
  <c r="AI469" i="2"/>
  <c r="AI341" i="2"/>
  <c r="AE341" i="2"/>
  <c r="BC412" i="2"/>
  <c r="AE313" i="2"/>
  <c r="AI313" i="2"/>
  <c r="AT163" i="2"/>
  <c r="AT66" i="2"/>
  <c r="BC341" i="2"/>
  <c r="AT288" i="2"/>
  <c r="BC390" i="2"/>
  <c r="AI337" i="2"/>
  <c r="AE337" i="2"/>
  <c r="AN23" i="7"/>
  <c r="AN21" i="7"/>
  <c r="AN19" i="7"/>
  <c r="AN22" i="7"/>
  <c r="AN52" i="7"/>
  <c r="AN55" i="7"/>
  <c r="AN17" i="7"/>
  <c r="AN20" i="7"/>
  <c r="AN18" i="7"/>
  <c r="AA56" i="7"/>
  <c r="Q54" i="7"/>
  <c r="AA59" i="7"/>
  <c r="Q57" i="7"/>
  <c r="L69" i="7" l="1"/>
  <c r="L116" i="7"/>
  <c r="M230" i="7"/>
  <c r="BE137" i="2"/>
  <c r="BI137" i="2" s="1"/>
  <c r="M148" i="7"/>
  <c r="L148" i="7"/>
  <c r="BD488" i="2"/>
  <c r="BH488" i="2" s="1"/>
  <c r="BD89" i="2"/>
  <c r="BH89" i="2" s="1"/>
  <c r="BE488" i="2"/>
  <c r="BI488" i="2" s="1"/>
  <c r="BG89" i="2"/>
  <c r="L88" i="7"/>
  <c r="M88" i="7"/>
  <c r="L136" i="7"/>
  <c r="M184" i="7"/>
  <c r="L71" i="7"/>
  <c r="M276" i="7"/>
  <c r="M71" i="7"/>
  <c r="M149" i="7"/>
  <c r="L149" i="7"/>
  <c r="BD113" i="2"/>
  <c r="BH113" i="2" s="1"/>
  <c r="M120" i="7"/>
  <c r="L184" i="7"/>
  <c r="L86" i="7"/>
  <c r="L70" i="7"/>
  <c r="L151" i="7"/>
  <c r="L132" i="7"/>
  <c r="M246" i="7"/>
  <c r="M164" i="7"/>
  <c r="L246" i="7"/>
  <c r="M134" i="7"/>
  <c r="BG213" i="2"/>
  <c r="BE213" i="2"/>
  <c r="BI213" i="2" s="1"/>
  <c r="M90" i="7"/>
  <c r="L87" i="7"/>
  <c r="L72" i="7"/>
  <c r="BE37" i="2"/>
  <c r="BI37" i="2" s="1"/>
  <c r="L90" i="7"/>
  <c r="M200" i="7"/>
  <c r="L134" i="7"/>
  <c r="M151" i="7"/>
  <c r="BD187" i="2"/>
  <c r="BH187" i="2" s="1"/>
  <c r="BJ187" i="2" s="1"/>
  <c r="L137" i="7"/>
  <c r="L231" i="7"/>
  <c r="L200" i="7"/>
  <c r="AX488" i="2"/>
  <c r="L168" i="7"/>
  <c r="M280" i="7"/>
  <c r="BE312" i="2"/>
  <c r="BI312" i="2" s="1"/>
  <c r="M19" i="7"/>
  <c r="AM19" i="7" s="1"/>
  <c r="L169" i="7"/>
  <c r="AV488" i="2"/>
  <c r="AZ488" i="2" s="1"/>
  <c r="BD312" i="2"/>
  <c r="BH312" i="2" s="1"/>
  <c r="BJ312" i="2" s="1"/>
  <c r="BD63" i="2"/>
  <c r="BH63" i="2" s="1"/>
  <c r="AX414" i="2"/>
  <c r="BG37" i="2"/>
  <c r="L152" i="7"/>
  <c r="AU415" i="2"/>
  <c r="AY415" i="2" s="1"/>
  <c r="M137" i="7"/>
  <c r="BE113" i="2"/>
  <c r="BI113" i="2" s="1"/>
  <c r="AU89" i="2"/>
  <c r="AY89" i="2" s="1"/>
  <c r="AV365" i="2"/>
  <c r="AZ365" i="2" s="1"/>
  <c r="BD212" i="2"/>
  <c r="BH212" i="2" s="1"/>
  <c r="M247" i="7"/>
  <c r="AU487" i="2"/>
  <c r="AY487" i="2" s="1"/>
  <c r="AV414" i="2"/>
  <c r="AZ414" i="2" s="1"/>
  <c r="BE63" i="2"/>
  <c r="BI63" i="2" s="1"/>
  <c r="AV487" i="2"/>
  <c r="AZ487" i="2" s="1"/>
  <c r="L280" i="7"/>
  <c r="L199" i="7"/>
  <c r="M73" i="7"/>
  <c r="L89" i="7"/>
  <c r="BD137" i="2"/>
  <c r="BH137" i="2" s="1"/>
  <c r="BJ137" i="2" s="1"/>
  <c r="AX113" i="2"/>
  <c r="AV463" i="2"/>
  <c r="AZ463" i="2" s="1"/>
  <c r="L153" i="7"/>
  <c r="AX187" i="2"/>
  <c r="AX463" i="2"/>
  <c r="BE366" i="2"/>
  <c r="BI366" i="2" s="1"/>
  <c r="BG364" i="2"/>
  <c r="BD366" i="2"/>
  <c r="BH366" i="2" s="1"/>
  <c r="L73" i="7"/>
  <c r="M121" i="7"/>
  <c r="L119" i="7"/>
  <c r="L247" i="7"/>
  <c r="L279" i="7"/>
  <c r="M199" i="7"/>
  <c r="BD87" i="2"/>
  <c r="BH87" i="2" s="1"/>
  <c r="M119" i="7"/>
  <c r="AV89" i="2"/>
  <c r="AZ89" i="2" s="1"/>
  <c r="BE87" i="2"/>
  <c r="BI87" i="2" s="1"/>
  <c r="BE290" i="2"/>
  <c r="BI290" i="2" s="1"/>
  <c r="M91" i="7"/>
  <c r="AV113" i="2"/>
  <c r="AZ113" i="2" s="1"/>
  <c r="L74" i="7"/>
  <c r="AU187" i="2"/>
  <c r="AY187" i="2" s="1"/>
  <c r="BD39" i="2"/>
  <c r="BH39" i="2" s="1"/>
  <c r="L183" i="7"/>
  <c r="M281" i="7"/>
  <c r="L138" i="7"/>
  <c r="AV389" i="2"/>
  <c r="AZ389" i="2" s="1"/>
  <c r="AV415" i="2"/>
  <c r="AZ415" i="2" s="1"/>
  <c r="AX63" i="2"/>
  <c r="BG290" i="2"/>
  <c r="BJ290" i="2" s="1"/>
  <c r="BE212" i="2"/>
  <c r="BI212" i="2" s="1"/>
  <c r="BJ463" i="2"/>
  <c r="M138" i="7"/>
  <c r="AX212" i="2"/>
  <c r="AV37" i="2"/>
  <c r="AZ37" i="2" s="1"/>
  <c r="AX140" i="2"/>
  <c r="BG365" i="2"/>
  <c r="AX364" i="2"/>
  <c r="BA364" i="2" s="1"/>
  <c r="AX37" i="2"/>
  <c r="AX164" i="2"/>
  <c r="BG493" i="2"/>
  <c r="BE66" i="2"/>
  <c r="BI66" i="2" s="1"/>
  <c r="M170" i="7"/>
  <c r="BD112" i="2"/>
  <c r="BH112" i="2" s="1"/>
  <c r="AU290" i="2"/>
  <c r="AY290" i="2" s="1"/>
  <c r="AX363" i="2"/>
  <c r="BE112" i="2"/>
  <c r="BI112" i="2" s="1"/>
  <c r="AX290" i="2"/>
  <c r="BE64" i="2"/>
  <c r="BI64" i="2" s="1"/>
  <c r="AX340" i="2"/>
  <c r="BE317" i="2"/>
  <c r="BI317" i="2" s="1"/>
  <c r="BE162" i="2"/>
  <c r="BI162" i="2" s="1"/>
  <c r="AV390" i="2"/>
  <c r="AZ390" i="2" s="1"/>
  <c r="AX413" i="2"/>
  <c r="BG188" i="2"/>
  <c r="BD493" i="2"/>
  <c r="BH493" i="2" s="1"/>
  <c r="BD164" i="2"/>
  <c r="BH164" i="2" s="1"/>
  <c r="AX339" i="2"/>
  <c r="BA339" i="2" s="1"/>
  <c r="BD338" i="2"/>
  <c r="BH338" i="2" s="1"/>
  <c r="M74" i="7"/>
  <c r="M152" i="7"/>
  <c r="L281" i="7"/>
  <c r="AU465" i="2"/>
  <c r="AY465" i="2" s="1"/>
  <c r="AV63" i="2"/>
  <c r="AZ63" i="2" s="1"/>
  <c r="L120" i="7"/>
  <c r="L121" i="7"/>
  <c r="AX465" i="2"/>
  <c r="BE216" i="2"/>
  <c r="BI216" i="2" s="1"/>
  <c r="AV87" i="2"/>
  <c r="AZ87" i="2" s="1"/>
  <c r="BD415" i="2"/>
  <c r="BH415" i="2" s="1"/>
  <c r="BD340" i="2"/>
  <c r="BH340" i="2" s="1"/>
  <c r="BD66" i="2"/>
  <c r="BH66" i="2" s="1"/>
  <c r="AV363" i="2"/>
  <c r="AZ363" i="2" s="1"/>
  <c r="AX491" i="2"/>
  <c r="AU389" i="2"/>
  <c r="AY389" i="2" s="1"/>
  <c r="BA389" i="2" s="1"/>
  <c r="BG164" i="2"/>
  <c r="AU365" i="2"/>
  <c r="AY365" i="2" s="1"/>
  <c r="AU390" i="2"/>
  <c r="AY390" i="2" s="1"/>
  <c r="BG64" i="2"/>
  <c r="L91" i="7"/>
  <c r="AV413" i="2"/>
  <c r="AZ413" i="2" s="1"/>
  <c r="AV212" i="2"/>
  <c r="AZ212" i="2" s="1"/>
  <c r="BA212" i="2" s="1"/>
  <c r="BE340" i="2"/>
  <c r="BI340" i="2" s="1"/>
  <c r="M153" i="7"/>
  <c r="BD365" i="2"/>
  <c r="BH365" i="2" s="1"/>
  <c r="BJ365" i="2" s="1"/>
  <c r="AU491" i="2"/>
  <c r="AY491" i="2" s="1"/>
  <c r="BG214" i="2"/>
  <c r="BJ214" i="2" s="1"/>
  <c r="BE39" i="2"/>
  <c r="BI39" i="2" s="1"/>
  <c r="AV340" i="2"/>
  <c r="AZ340" i="2" s="1"/>
  <c r="AX87" i="2"/>
  <c r="BD216" i="2"/>
  <c r="BH216" i="2" s="1"/>
  <c r="BD494" i="2"/>
  <c r="BH494" i="2" s="1"/>
  <c r="AX466" i="2"/>
  <c r="BE288" i="2"/>
  <c r="BI288" i="2" s="1"/>
  <c r="BE140" i="2"/>
  <c r="BI140" i="2" s="1"/>
  <c r="R53" i="7"/>
  <c r="AU213" i="2"/>
  <c r="AY213" i="2" s="1"/>
  <c r="AU314" i="2"/>
  <c r="AY314" i="2" s="1"/>
  <c r="AV140" i="2"/>
  <c r="AZ140" i="2" s="1"/>
  <c r="BG162" i="2"/>
  <c r="BJ162" i="2" s="1"/>
  <c r="BG317" i="2"/>
  <c r="AV237" i="2"/>
  <c r="AZ237" i="2" s="1"/>
  <c r="AF54" i="7"/>
  <c r="AF56" i="7" s="1"/>
  <c r="BG389" i="2"/>
  <c r="AU387" i="2"/>
  <c r="AY387" i="2" s="1"/>
  <c r="BG465" i="2"/>
  <c r="BG487" i="2"/>
  <c r="AV214" i="2"/>
  <c r="AZ214" i="2" s="1"/>
  <c r="BA214" i="2" s="1"/>
  <c r="AX39" i="2"/>
  <c r="AU366" i="2"/>
  <c r="AY366" i="2" s="1"/>
  <c r="AU412" i="2"/>
  <c r="AY412" i="2" s="1"/>
  <c r="AU162" i="2"/>
  <c r="AY162" i="2" s="1"/>
  <c r="AX412" i="2"/>
  <c r="AV164" i="2"/>
  <c r="AZ164" i="2" s="1"/>
  <c r="AX213" i="2"/>
  <c r="AV314" i="2"/>
  <c r="AZ314" i="2" s="1"/>
  <c r="AX366" i="2"/>
  <c r="AX237" i="2"/>
  <c r="BA237" i="2" s="1"/>
  <c r="AX90" i="2"/>
  <c r="AU188" i="2"/>
  <c r="AY188" i="2" s="1"/>
  <c r="AX162" i="2"/>
  <c r="AV317" i="2"/>
  <c r="AZ317" i="2" s="1"/>
  <c r="BG492" i="2"/>
  <c r="BG338" i="2"/>
  <c r="BD389" i="2"/>
  <c r="BH389" i="2" s="1"/>
  <c r="AV466" i="2"/>
  <c r="AZ466" i="2" s="1"/>
  <c r="AV338" i="2"/>
  <c r="AZ338" i="2" s="1"/>
  <c r="BG362" i="2"/>
  <c r="BG292" i="2"/>
  <c r="AV65" i="2"/>
  <c r="AZ65" i="2" s="1"/>
  <c r="BE487" i="2"/>
  <c r="BI487" i="2" s="1"/>
  <c r="BJ487" i="2" s="1"/>
  <c r="AU39" i="2"/>
  <c r="AY39" i="2" s="1"/>
  <c r="AX317" i="2"/>
  <c r="AU338" i="2"/>
  <c r="AY338" i="2" s="1"/>
  <c r="BG237" i="2"/>
  <c r="BD362" i="2"/>
  <c r="BH362" i="2" s="1"/>
  <c r="BG462" i="2"/>
  <c r="BE465" i="2"/>
  <c r="BI465" i="2" s="1"/>
  <c r="BJ465" i="2" s="1"/>
  <c r="N19" i="7"/>
  <c r="S19" i="7" s="1"/>
  <c r="AO19" i="7" s="1"/>
  <c r="BG189" i="2"/>
  <c r="AX315" i="2"/>
  <c r="BD469" i="2"/>
  <c r="BH469" i="2" s="1"/>
  <c r="AV489" i="2"/>
  <c r="AZ489" i="2" s="1"/>
  <c r="AV315" i="2"/>
  <c r="AZ315" i="2" s="1"/>
  <c r="AX489" i="2"/>
  <c r="BD462" i="2"/>
  <c r="BH462" i="2" s="1"/>
  <c r="BG464" i="2"/>
  <c r="BD464" i="2"/>
  <c r="BH464" i="2" s="1"/>
  <c r="BE464" i="2"/>
  <c r="BI464" i="2" s="1"/>
  <c r="BD388" i="2"/>
  <c r="BH388" i="2" s="1"/>
  <c r="AV90" i="2"/>
  <c r="AZ90" i="2" s="1"/>
  <c r="BA90" i="2" s="1"/>
  <c r="BD288" i="2"/>
  <c r="BH288" i="2" s="1"/>
  <c r="BG140" i="2"/>
  <c r="BD188" i="2"/>
  <c r="BH188" i="2" s="1"/>
  <c r="BD90" i="2"/>
  <c r="BH90" i="2" s="1"/>
  <c r="BD237" i="2"/>
  <c r="BH237" i="2" s="1"/>
  <c r="AV362" i="2"/>
  <c r="AZ362" i="2" s="1"/>
  <c r="BG90" i="2"/>
  <c r="BG339" i="2"/>
  <c r="BE339" i="2"/>
  <c r="BI339" i="2" s="1"/>
  <c r="B83" i="4"/>
  <c r="C82" i="4"/>
  <c r="BM77" i="2"/>
  <c r="D81" i="4"/>
  <c r="F92" i="7"/>
  <c r="H92" i="7"/>
  <c r="H75" i="7"/>
  <c r="G92" i="7"/>
  <c r="F75" i="7"/>
  <c r="G75" i="7"/>
  <c r="AX291" i="2"/>
  <c r="AV291" i="2"/>
  <c r="AZ291" i="2" s="1"/>
  <c r="AU291" i="2"/>
  <c r="AY291" i="2" s="1"/>
  <c r="BE469" i="2"/>
  <c r="BI469" i="2" s="1"/>
  <c r="AU65" i="2"/>
  <c r="AY65" i="2" s="1"/>
  <c r="AU469" i="2"/>
  <c r="AY469" i="2" s="1"/>
  <c r="BD391" i="2"/>
  <c r="BH391" i="2" s="1"/>
  <c r="AU362" i="2"/>
  <c r="AY362" i="2" s="1"/>
  <c r="BE494" i="2"/>
  <c r="BI494" i="2" s="1"/>
  <c r="BG415" i="2"/>
  <c r="AX469" i="2"/>
  <c r="BE391" i="2"/>
  <c r="BI391" i="2" s="1"/>
  <c r="BD189" i="2"/>
  <c r="BH189" i="2" s="1"/>
  <c r="AV462" i="2"/>
  <c r="AZ462" i="2" s="1"/>
  <c r="AX462" i="2"/>
  <c r="AU462" i="2"/>
  <c r="AY462" i="2" s="1"/>
  <c r="AX64" i="2"/>
  <c r="AV64" i="2"/>
  <c r="AZ64" i="2" s="1"/>
  <c r="BJ364" i="2"/>
  <c r="BD414" i="2"/>
  <c r="BH414" i="2" s="1"/>
  <c r="BE414" i="2"/>
  <c r="BI414" i="2" s="1"/>
  <c r="BG414" i="2"/>
  <c r="BE388" i="2"/>
  <c r="BI388" i="2" s="1"/>
  <c r="AV188" i="2"/>
  <c r="AZ188" i="2" s="1"/>
  <c r="BE492" i="2"/>
  <c r="BI492" i="2" s="1"/>
  <c r="AX387" i="2"/>
  <c r="BE292" i="2"/>
  <c r="BI292" i="2" s="1"/>
  <c r="BJ291" i="2"/>
  <c r="BJ337" i="2"/>
  <c r="BG341" i="2"/>
  <c r="BD341" i="2"/>
  <c r="BH341" i="2" s="1"/>
  <c r="BE341" i="2"/>
  <c r="BI341" i="2" s="1"/>
  <c r="BD287" i="2"/>
  <c r="BH287" i="2" s="1"/>
  <c r="BE287" i="2"/>
  <c r="BI287" i="2" s="1"/>
  <c r="BG287" i="2"/>
  <c r="BD264" i="2"/>
  <c r="BH264" i="2" s="1"/>
  <c r="BE264" i="2"/>
  <c r="BI264" i="2" s="1"/>
  <c r="BG264" i="2"/>
  <c r="BD315" i="2"/>
  <c r="BH315" i="2" s="1"/>
  <c r="BE315" i="2"/>
  <c r="BI315" i="2" s="1"/>
  <c r="BG315" i="2"/>
  <c r="BD65" i="2"/>
  <c r="BH65" i="2" s="1"/>
  <c r="BG65" i="2"/>
  <c r="BE65" i="2"/>
  <c r="BI65" i="2" s="1"/>
  <c r="AX337" i="2"/>
  <c r="AU337" i="2"/>
  <c r="AY337" i="2" s="1"/>
  <c r="AV337" i="2"/>
  <c r="AZ337" i="2" s="1"/>
  <c r="BD314" i="2"/>
  <c r="BH314" i="2" s="1"/>
  <c r="BE314" i="2"/>
  <c r="BI314" i="2" s="1"/>
  <c r="BG314" i="2"/>
  <c r="AU190" i="2"/>
  <c r="AY190" i="2" s="1"/>
  <c r="AV190" i="2"/>
  <c r="AZ190" i="2" s="1"/>
  <c r="AX190" i="2"/>
  <c r="AE470" i="2"/>
  <c r="BG490" i="2"/>
  <c r="BD490" i="2"/>
  <c r="BH490" i="2" s="1"/>
  <c r="BE490" i="2"/>
  <c r="BI490" i="2" s="1"/>
  <c r="BD489" i="2"/>
  <c r="BH489" i="2" s="1"/>
  <c r="BG489" i="2"/>
  <c r="BE489" i="2"/>
  <c r="BI489" i="2" s="1"/>
  <c r="AU215" i="2"/>
  <c r="AY215" i="2" s="1"/>
  <c r="AV215" i="2"/>
  <c r="AZ215" i="2" s="1"/>
  <c r="AX215" i="2"/>
  <c r="AX341" i="2"/>
  <c r="AV341" i="2"/>
  <c r="AZ341" i="2" s="1"/>
  <c r="AU341" i="2"/>
  <c r="AY341" i="2" s="1"/>
  <c r="AX292" i="2"/>
  <c r="AU292" i="2"/>
  <c r="AY292" i="2" s="1"/>
  <c r="AV292" i="2"/>
  <c r="AZ292" i="2" s="1"/>
  <c r="BG467" i="2"/>
  <c r="BE467" i="2"/>
  <c r="BI467" i="2" s="1"/>
  <c r="BD467" i="2"/>
  <c r="BH467" i="2" s="1"/>
  <c r="BD163" i="2"/>
  <c r="BH163" i="2" s="1"/>
  <c r="BG163" i="2"/>
  <c r="BE163" i="2"/>
  <c r="BI163" i="2" s="1"/>
  <c r="BG416" i="2"/>
  <c r="BE416" i="2"/>
  <c r="BI416" i="2" s="1"/>
  <c r="BD416" i="2"/>
  <c r="BH416" i="2" s="1"/>
  <c r="BE262" i="2"/>
  <c r="BI262" i="2" s="1"/>
  <c r="BD262" i="2"/>
  <c r="BH262" i="2" s="1"/>
  <c r="BG262" i="2"/>
  <c r="BE191" i="2"/>
  <c r="BI191" i="2" s="1"/>
  <c r="BD191" i="2"/>
  <c r="BH191" i="2" s="1"/>
  <c r="BG191" i="2"/>
  <c r="BG412" i="2"/>
  <c r="BE412" i="2"/>
  <c r="BI412" i="2" s="1"/>
  <c r="BD412" i="2"/>
  <c r="BH412" i="2" s="1"/>
  <c r="BD62" i="2"/>
  <c r="BH62" i="2" s="1"/>
  <c r="BG62" i="2"/>
  <c r="BE62" i="2"/>
  <c r="BI62" i="2" s="1"/>
  <c r="AV137" i="2"/>
  <c r="AZ137" i="2" s="1"/>
  <c r="AX137" i="2"/>
  <c r="AU137" i="2"/>
  <c r="AY137" i="2" s="1"/>
  <c r="AV262" i="2"/>
  <c r="AZ262" i="2" s="1"/>
  <c r="AX262" i="2"/>
  <c r="AU262" i="2"/>
  <c r="AY262" i="2" s="1"/>
  <c r="AV388" i="2"/>
  <c r="AZ388" i="2" s="1"/>
  <c r="AX388" i="2"/>
  <c r="AU388" i="2"/>
  <c r="AY388" i="2" s="1"/>
  <c r="AX264" i="2"/>
  <c r="AV264" i="2"/>
  <c r="AZ264" i="2" s="1"/>
  <c r="AU264" i="2"/>
  <c r="AY264" i="2" s="1"/>
  <c r="AX416" i="2"/>
  <c r="AV416" i="2"/>
  <c r="AZ416" i="2" s="1"/>
  <c r="AU416" i="2"/>
  <c r="AY416" i="2" s="1"/>
  <c r="BD468" i="2"/>
  <c r="BH468" i="2" s="1"/>
  <c r="BG468" i="2"/>
  <c r="BE468" i="2"/>
  <c r="BI468" i="2" s="1"/>
  <c r="AU498" i="2"/>
  <c r="AV497" i="2"/>
  <c r="AU500" i="2"/>
  <c r="AV500" i="2" s="1"/>
  <c r="AU499" i="2"/>
  <c r="AV499" i="2" s="1"/>
  <c r="AU501" i="2"/>
  <c r="AV501" i="2" s="1"/>
  <c r="AX498" i="2"/>
  <c r="AX499" i="2"/>
  <c r="AY499" i="2" s="1"/>
  <c r="AX501" i="2"/>
  <c r="AY501" i="2" s="1"/>
  <c r="AX500" i="2"/>
  <c r="AY500" i="2" s="1"/>
  <c r="N34" i="7"/>
  <c r="M23" i="7" s="1"/>
  <c r="M25" i="7"/>
  <c r="M24" i="7"/>
  <c r="M17" i="7"/>
  <c r="N35" i="7"/>
  <c r="M18" i="7" s="1"/>
  <c r="M26" i="7"/>
  <c r="N17" i="7"/>
  <c r="S17" i="7" s="1"/>
  <c r="AO17" i="7" s="1"/>
  <c r="N26" i="7"/>
  <c r="S26" i="7" s="1"/>
  <c r="AO26" i="7" s="1"/>
  <c r="N24" i="7"/>
  <c r="S24" i="7" s="1"/>
  <c r="AO24" i="7" s="1"/>
  <c r="O35" i="7"/>
  <c r="N18" i="7" s="1"/>
  <c r="S18" i="7" s="1"/>
  <c r="AO18" i="7" s="1"/>
  <c r="N25" i="7"/>
  <c r="S25" i="7" s="1"/>
  <c r="AO25" i="7" s="1"/>
  <c r="AU316" i="2"/>
  <c r="AY316" i="2" s="1"/>
  <c r="AV316" i="2"/>
  <c r="AZ316" i="2" s="1"/>
  <c r="AX316" i="2"/>
  <c r="BD363" i="2"/>
  <c r="BH363" i="2" s="1"/>
  <c r="BE363" i="2"/>
  <c r="BI363" i="2" s="1"/>
  <c r="BG363" i="2"/>
  <c r="AV88" i="2"/>
  <c r="AZ88" i="2" s="1"/>
  <c r="AX88" i="2"/>
  <c r="AU88" i="2"/>
  <c r="AY88" i="2" s="1"/>
  <c r="BE263" i="2"/>
  <c r="BI263" i="2" s="1"/>
  <c r="BD263" i="2"/>
  <c r="BH263" i="2" s="1"/>
  <c r="BG263" i="2"/>
  <c r="AX490" i="2"/>
  <c r="AV490" i="2"/>
  <c r="AZ490" i="2" s="1"/>
  <c r="AU490" i="2"/>
  <c r="AY490" i="2" s="1"/>
  <c r="AV112" i="2"/>
  <c r="AZ112" i="2" s="1"/>
  <c r="AX112" i="2"/>
  <c r="AU112" i="2"/>
  <c r="AY112" i="2" s="1"/>
  <c r="AU238" i="2"/>
  <c r="AY238" i="2" s="1"/>
  <c r="AV238" i="2"/>
  <c r="AZ238" i="2" s="1"/>
  <c r="AX238" i="2"/>
  <c r="AU467" i="2"/>
  <c r="AY467" i="2" s="1"/>
  <c r="AV467" i="2"/>
  <c r="AZ467" i="2" s="1"/>
  <c r="AX467" i="2"/>
  <c r="AX289" i="2"/>
  <c r="AU289" i="2"/>
  <c r="AY289" i="2" s="1"/>
  <c r="AV289" i="2"/>
  <c r="AZ289" i="2" s="1"/>
  <c r="AU66" i="2"/>
  <c r="AY66" i="2" s="1"/>
  <c r="AV66" i="2"/>
  <c r="AZ66" i="2" s="1"/>
  <c r="AX66" i="2"/>
  <c r="AU163" i="2"/>
  <c r="AY163" i="2" s="1"/>
  <c r="AX163" i="2"/>
  <c r="AV163" i="2"/>
  <c r="AZ163" i="2" s="1"/>
  <c r="AX312" i="2"/>
  <c r="AU312" i="2"/>
  <c r="AY312" i="2" s="1"/>
  <c r="AV312" i="2"/>
  <c r="AZ312" i="2" s="1"/>
  <c r="AX493" i="2"/>
  <c r="AV493" i="2"/>
  <c r="AZ493" i="2" s="1"/>
  <c r="AU493" i="2"/>
  <c r="AY493" i="2" s="1"/>
  <c r="AU189" i="2"/>
  <c r="AY189" i="2" s="1"/>
  <c r="AV189" i="2"/>
  <c r="AZ189" i="2" s="1"/>
  <c r="AX189" i="2"/>
  <c r="AU263" i="2"/>
  <c r="AY263" i="2" s="1"/>
  <c r="AX263" i="2"/>
  <c r="AV263" i="2"/>
  <c r="AZ263" i="2" s="1"/>
  <c r="BG190" i="2"/>
  <c r="BD190" i="2"/>
  <c r="BH190" i="2" s="1"/>
  <c r="BE190" i="2"/>
  <c r="BI190" i="2" s="1"/>
  <c r="AX391" i="2"/>
  <c r="AV391" i="2"/>
  <c r="AZ391" i="2" s="1"/>
  <c r="AU391" i="2"/>
  <c r="AY391" i="2" s="1"/>
  <c r="BD139" i="2"/>
  <c r="BH139" i="2" s="1"/>
  <c r="BE139" i="2"/>
  <c r="BI139" i="2" s="1"/>
  <c r="BG139" i="2"/>
  <c r="BD491" i="2"/>
  <c r="BH491" i="2" s="1"/>
  <c r="BG491" i="2"/>
  <c r="BE491" i="2"/>
  <c r="BI491" i="2" s="1"/>
  <c r="BG390" i="2"/>
  <c r="BE390" i="2"/>
  <c r="BI390" i="2" s="1"/>
  <c r="BD390" i="2"/>
  <c r="BH390" i="2" s="1"/>
  <c r="AU468" i="2"/>
  <c r="AY468" i="2" s="1"/>
  <c r="AV468" i="2"/>
  <c r="AZ468" i="2" s="1"/>
  <c r="AX468" i="2"/>
  <c r="BD239" i="2"/>
  <c r="BH239" i="2" s="1"/>
  <c r="BE239" i="2"/>
  <c r="BI239" i="2" s="1"/>
  <c r="BG239" i="2"/>
  <c r="BE238" i="2"/>
  <c r="BI238" i="2" s="1"/>
  <c r="BD238" i="2"/>
  <c r="BH238" i="2" s="1"/>
  <c r="BG238" i="2"/>
  <c r="AU216" i="2"/>
  <c r="AY216" i="2" s="1"/>
  <c r="AX216" i="2"/>
  <c r="AV216" i="2"/>
  <c r="AZ216" i="2" s="1"/>
  <c r="AX288" i="2"/>
  <c r="AV288" i="2"/>
  <c r="AZ288" i="2" s="1"/>
  <c r="AU288" i="2"/>
  <c r="AY288" i="2" s="1"/>
  <c r="AU139" i="2"/>
  <c r="AY139" i="2" s="1"/>
  <c r="AV139" i="2"/>
  <c r="AZ139" i="2" s="1"/>
  <c r="AX139" i="2"/>
  <c r="BD88" i="2"/>
  <c r="BH88" i="2" s="1"/>
  <c r="BG88" i="2"/>
  <c r="BE88" i="2"/>
  <c r="BI88" i="2" s="1"/>
  <c r="M22" i="7"/>
  <c r="M20" i="7"/>
  <c r="M21" i="7"/>
  <c r="BD313" i="2"/>
  <c r="BH313" i="2" s="1"/>
  <c r="BE313" i="2"/>
  <c r="BI313" i="2" s="1"/>
  <c r="BG313" i="2"/>
  <c r="BD413" i="2"/>
  <c r="BH413" i="2" s="1"/>
  <c r="BG413" i="2"/>
  <c r="BE413" i="2"/>
  <c r="BI413" i="2" s="1"/>
  <c r="BE466" i="2"/>
  <c r="BI466" i="2" s="1"/>
  <c r="BG466" i="2"/>
  <c r="BD466" i="2"/>
  <c r="BH466" i="2" s="1"/>
  <c r="AU191" i="2"/>
  <c r="AY191" i="2" s="1"/>
  <c r="AX191" i="2"/>
  <c r="AV191" i="2"/>
  <c r="AZ191" i="2" s="1"/>
  <c r="BE215" i="2"/>
  <c r="BI215" i="2" s="1"/>
  <c r="BD215" i="2"/>
  <c r="BH215" i="2" s="1"/>
  <c r="BG215" i="2"/>
  <c r="AU239" i="2"/>
  <c r="AY239" i="2" s="1"/>
  <c r="AX239" i="2"/>
  <c r="AV239" i="2"/>
  <c r="AZ239" i="2" s="1"/>
  <c r="BG289" i="2"/>
  <c r="BD289" i="2"/>
  <c r="BH289" i="2" s="1"/>
  <c r="BE289" i="2"/>
  <c r="BI289" i="2" s="1"/>
  <c r="AX494" i="2"/>
  <c r="AV494" i="2"/>
  <c r="AZ494" i="2" s="1"/>
  <c r="AU494" i="2"/>
  <c r="AY494" i="2" s="1"/>
  <c r="AX62" i="2"/>
  <c r="AV62" i="2"/>
  <c r="AZ62" i="2" s="1"/>
  <c r="AU62" i="2"/>
  <c r="AY62" i="2" s="1"/>
  <c r="N22" i="7"/>
  <c r="N21" i="7"/>
  <c r="S21" i="7" s="1"/>
  <c r="AO21" i="7" s="1"/>
  <c r="O34" i="7"/>
  <c r="N23" i="7" s="1"/>
  <c r="S23" i="7" s="1"/>
  <c r="AO23" i="7" s="1"/>
  <c r="N20" i="7"/>
  <c r="S20" i="7" s="1"/>
  <c r="AO20" i="7" s="1"/>
  <c r="AX492" i="2"/>
  <c r="AV492" i="2"/>
  <c r="AZ492" i="2" s="1"/>
  <c r="AU492" i="2"/>
  <c r="AY492" i="2" s="1"/>
  <c r="AU313" i="2"/>
  <c r="AY313" i="2" s="1"/>
  <c r="AX313" i="2"/>
  <c r="AV313" i="2"/>
  <c r="AZ313" i="2" s="1"/>
  <c r="AX287" i="2"/>
  <c r="AU287" i="2"/>
  <c r="AY287" i="2" s="1"/>
  <c r="AV287" i="2"/>
  <c r="AZ287" i="2" s="1"/>
  <c r="BG387" i="2"/>
  <c r="BE387" i="2"/>
  <c r="BI387" i="2" s="1"/>
  <c r="BD387" i="2"/>
  <c r="BH387" i="2" s="1"/>
  <c r="BD316" i="2"/>
  <c r="BH316" i="2" s="1"/>
  <c r="BE316" i="2"/>
  <c r="BI316" i="2" s="1"/>
  <c r="BG316" i="2"/>
  <c r="BA464" i="2"/>
  <c r="AN57" i="7"/>
  <c r="AA63" i="7"/>
  <c r="Q63" i="7" s="1"/>
  <c r="Q59" i="7"/>
  <c r="AN54" i="7"/>
  <c r="AA58" i="7"/>
  <c r="AA61" i="7"/>
  <c r="Q56" i="7"/>
  <c r="AF57" i="7"/>
  <c r="R55" i="7"/>
  <c r="BA488" i="2" l="1"/>
  <c r="BJ488" i="2"/>
  <c r="BJ89" i="2"/>
  <c r="BJ113" i="2"/>
  <c r="BJ37" i="2"/>
  <c r="BJ213" i="2"/>
  <c r="BA37" i="2"/>
  <c r="BA465" i="2"/>
  <c r="BA89" i="2"/>
  <c r="BA415" i="2"/>
  <c r="R19" i="7"/>
  <c r="BA487" i="2"/>
  <c r="BA365" i="2"/>
  <c r="BJ366" i="2"/>
  <c r="BA463" i="2"/>
  <c r="BJ63" i="2"/>
  <c r="BJ212" i="2"/>
  <c r="BA414" i="2"/>
  <c r="BA113" i="2"/>
  <c r="BA164" i="2"/>
  <c r="BJ39" i="2"/>
  <c r="BA187" i="2"/>
  <c r="BJ87" i="2"/>
  <c r="BA140" i="2"/>
  <c r="BJ164" i="2"/>
  <c r="BA290" i="2"/>
  <c r="BJ493" i="2"/>
  <c r="BA63" i="2"/>
  <c r="BJ216" i="2"/>
  <c r="BJ112" i="2"/>
  <c r="BA87" i="2"/>
  <c r="BA390" i="2"/>
  <c r="BJ415" i="2"/>
  <c r="BA363" i="2"/>
  <c r="BJ66" i="2"/>
  <c r="BJ188" i="2"/>
  <c r="BJ317" i="2"/>
  <c r="BJ64" i="2"/>
  <c r="BA340" i="2"/>
  <c r="BA413" i="2"/>
  <c r="BJ340" i="2"/>
  <c r="BJ237" i="2"/>
  <c r="BJ338" i="2"/>
  <c r="BJ362" i="2"/>
  <c r="BJ494" i="2"/>
  <c r="BJ140" i="2"/>
  <c r="BJ288" i="2"/>
  <c r="BA491" i="2"/>
  <c r="BA314" i="2"/>
  <c r="BA412" i="2"/>
  <c r="BA39" i="2"/>
  <c r="BA213" i="2"/>
  <c r="BA387" i="2"/>
  <c r="BA466" i="2"/>
  <c r="R54" i="7"/>
  <c r="BA188" i="2"/>
  <c r="BJ189" i="2"/>
  <c r="BJ389" i="2"/>
  <c r="BA162" i="2"/>
  <c r="BA315" i="2"/>
  <c r="BA362" i="2"/>
  <c r="BA489" i="2"/>
  <c r="BJ292" i="2"/>
  <c r="BJ462" i="2"/>
  <c r="BA317" i="2"/>
  <c r="BA366" i="2"/>
  <c r="BJ464" i="2"/>
  <c r="BA65" i="2"/>
  <c r="BA338" i="2"/>
  <c r="BJ492" i="2"/>
  <c r="BJ469" i="2"/>
  <c r="BJ388" i="2"/>
  <c r="BJ90" i="2"/>
  <c r="M75" i="7"/>
  <c r="M79" i="7" s="1"/>
  <c r="P49" i="7" s="1"/>
  <c r="T49" i="7" s="1"/>
  <c r="AO49" i="7" s="1"/>
  <c r="L75" i="7"/>
  <c r="L79" i="7" s="1"/>
  <c r="O49" i="7" s="1"/>
  <c r="BA469" i="2"/>
  <c r="M92" i="7"/>
  <c r="BJ339" i="2"/>
  <c r="B84" i="4"/>
  <c r="C83" i="4"/>
  <c r="L92" i="7"/>
  <c r="BM78" i="2"/>
  <c r="D82" i="4"/>
  <c r="BA291" i="2"/>
  <c r="BJ391" i="2"/>
  <c r="BA64" i="2"/>
  <c r="BJ414" i="2"/>
  <c r="BA462" i="2"/>
  <c r="BA467" i="2"/>
  <c r="BA137" i="2"/>
  <c r="BJ287" i="2"/>
  <c r="BA492" i="2"/>
  <c r="BA239" i="2"/>
  <c r="BJ313" i="2"/>
  <c r="BJ316" i="2"/>
  <c r="BA494" i="2"/>
  <c r="BJ190" i="2"/>
  <c r="BA493" i="2"/>
  <c r="BJ467" i="2"/>
  <c r="BJ238" i="2"/>
  <c r="BA468" i="2"/>
  <c r="BJ262" i="2"/>
  <c r="BJ416" i="2"/>
  <c r="BA292" i="2"/>
  <c r="BA190" i="2"/>
  <c r="BA337" i="2"/>
  <c r="BJ264" i="2"/>
  <c r="BA288" i="2"/>
  <c r="BJ263" i="2"/>
  <c r="AM20" i="7"/>
  <c r="R20" i="7"/>
  <c r="AM18" i="7"/>
  <c r="R18" i="7"/>
  <c r="AY498" i="2"/>
  <c r="AY502" i="2" s="1"/>
  <c r="R500" i="2" s="1"/>
  <c r="AX502" i="2"/>
  <c r="BJ387" i="2"/>
  <c r="BJ466" i="2"/>
  <c r="L59" i="8"/>
  <c r="O59" i="8" s="1"/>
  <c r="AM22" i="7"/>
  <c r="L58" i="8"/>
  <c r="O58" i="8" s="1"/>
  <c r="L61" i="8"/>
  <c r="O61" i="8" s="1"/>
  <c r="L60" i="8"/>
  <c r="O60" i="8" s="1"/>
  <c r="R22" i="7"/>
  <c r="BA216" i="2"/>
  <c r="BJ239" i="2"/>
  <c r="BJ390" i="2"/>
  <c r="BJ139" i="2"/>
  <c r="BA263" i="2"/>
  <c r="BA189" i="2"/>
  <c r="BA66" i="2"/>
  <c r="BA238" i="2"/>
  <c r="BA112" i="2"/>
  <c r="BA490" i="2"/>
  <c r="BA316" i="2"/>
  <c r="AM17" i="7"/>
  <c r="R17" i="7"/>
  <c r="AU502" i="2"/>
  <c r="AV498" i="2"/>
  <c r="AV502" i="2" s="1"/>
  <c r="K500" i="2" s="1"/>
  <c r="BA416" i="2"/>
  <c r="BA262" i="2"/>
  <c r="BJ412" i="2"/>
  <c r="BA341" i="2"/>
  <c r="BJ314" i="2"/>
  <c r="BJ315" i="2"/>
  <c r="AM23" i="7"/>
  <c r="R23" i="7"/>
  <c r="BA313" i="2"/>
  <c r="BA62" i="2"/>
  <c r="BJ289" i="2"/>
  <c r="BJ215" i="2"/>
  <c r="BA191" i="2"/>
  <c r="BJ413" i="2"/>
  <c r="BA312" i="2"/>
  <c r="BA88" i="2"/>
  <c r="BJ363" i="2"/>
  <c r="AM24" i="7"/>
  <c r="R24" i="7"/>
  <c r="BJ62" i="2"/>
  <c r="BJ163" i="2"/>
  <c r="BA215" i="2"/>
  <c r="BJ489" i="2"/>
  <c r="BJ490" i="2"/>
  <c r="BJ65" i="2"/>
  <c r="BA287" i="2"/>
  <c r="N58" i="8"/>
  <c r="Q58" i="8" s="1"/>
  <c r="N61" i="8"/>
  <c r="Q61" i="8" s="1"/>
  <c r="N60" i="8"/>
  <c r="Q60" i="8" s="1"/>
  <c r="S22" i="7"/>
  <c r="AO22" i="7" s="1"/>
  <c r="N59" i="8"/>
  <c r="Q59" i="8" s="1"/>
  <c r="AM21" i="7"/>
  <c r="R21" i="7"/>
  <c r="BJ88" i="2"/>
  <c r="BA139" i="2"/>
  <c r="BJ491" i="2"/>
  <c r="BA391" i="2"/>
  <c r="BA163" i="2"/>
  <c r="BA289" i="2"/>
  <c r="AM26" i="7"/>
  <c r="R26" i="7"/>
  <c r="AM25" i="7"/>
  <c r="R25" i="7"/>
  <c r="BJ468" i="2"/>
  <c r="BA264" i="2"/>
  <c r="BA388" i="2"/>
  <c r="BJ191" i="2"/>
  <c r="BJ341" i="2"/>
  <c r="AA60" i="7"/>
  <c r="Q60" i="7" s="1"/>
  <c r="Q61" i="7"/>
  <c r="AN59" i="7"/>
  <c r="AN56" i="7"/>
  <c r="AA62" i="7"/>
  <c r="Q62" i="7" s="1"/>
  <c r="Q58" i="7"/>
  <c r="M75" i="8" s="1"/>
  <c r="P75" i="8" s="1"/>
  <c r="P87" i="8" s="1"/>
  <c r="P88" i="8" s="1"/>
  <c r="P25" i="8" s="1"/>
  <c r="AN63" i="7"/>
  <c r="S63" i="7"/>
  <c r="R56" i="7"/>
  <c r="AF61" i="7"/>
  <c r="AF58" i="7"/>
  <c r="AF59" i="7"/>
  <c r="R57" i="7"/>
  <c r="AM49" i="7" l="1"/>
  <c r="S49" i="7"/>
  <c r="BM79" i="2"/>
  <c r="D83" i="4"/>
  <c r="F166" i="7" s="1"/>
  <c r="H278" i="7"/>
  <c r="G150" i="7"/>
  <c r="G228" i="7"/>
  <c r="F135" i="7"/>
  <c r="G118" i="7"/>
  <c r="F150" i="7"/>
  <c r="G278" i="7"/>
  <c r="H167" i="7"/>
  <c r="N244" i="7"/>
  <c r="N118" i="7"/>
  <c r="H228" i="7"/>
  <c r="F167" i="7"/>
  <c r="F244" i="7"/>
  <c r="G244" i="7"/>
  <c r="H244" i="7"/>
  <c r="N150" i="7"/>
  <c r="N228" i="7"/>
  <c r="F278" i="7"/>
  <c r="L278" i="7" s="1"/>
  <c r="N135" i="7"/>
  <c r="G167" i="7"/>
  <c r="H135" i="7"/>
  <c r="F228" i="7"/>
  <c r="F118" i="7"/>
  <c r="N278" i="7"/>
  <c r="G135" i="7"/>
  <c r="M135" i="7" s="1"/>
  <c r="H150" i="7"/>
  <c r="N167" i="7"/>
  <c r="H118" i="7"/>
  <c r="B85" i="4"/>
  <c r="C84" i="4"/>
  <c r="BA473" i="2"/>
  <c r="K474" i="2" s="1"/>
  <c r="BA498" i="2"/>
  <c r="K499" i="2" s="1"/>
  <c r="K501" i="2" s="1"/>
  <c r="BJ498" i="2"/>
  <c r="R499" i="2" s="1"/>
  <c r="R501" i="2" s="1"/>
  <c r="Q70" i="8"/>
  <c r="Q71" i="8" s="1"/>
  <c r="O70" i="8"/>
  <c r="O71" i="8" s="1"/>
  <c r="BJ473" i="2"/>
  <c r="R474" i="2" s="1"/>
  <c r="AN60" i="7"/>
  <c r="AN58" i="7"/>
  <c r="S62" i="7"/>
  <c r="AN62" i="7"/>
  <c r="AN61" i="7"/>
  <c r="AF63" i="7"/>
  <c r="R63" i="7" s="1"/>
  <c r="T63" i="7" s="1"/>
  <c r="AO63" i="7" s="1"/>
  <c r="R59" i="7"/>
  <c r="R61" i="7"/>
  <c r="AF60" i="7"/>
  <c r="R60" i="7" s="1"/>
  <c r="AF62" i="7"/>
  <c r="R62" i="7" s="1"/>
  <c r="T62" i="7" s="1"/>
  <c r="AO62" i="7" s="1"/>
  <c r="R58" i="7"/>
  <c r="M278" i="7" l="1"/>
  <c r="L228" i="7"/>
  <c r="N166" i="7"/>
  <c r="M167" i="7"/>
  <c r="L167" i="7"/>
  <c r="H166" i="7"/>
  <c r="L166" i="7" s="1"/>
  <c r="G166" i="7"/>
  <c r="BM80" i="2"/>
  <c r="D84" i="4"/>
  <c r="B86" i="4"/>
  <c r="C85" i="4"/>
  <c r="L244" i="7"/>
  <c r="L118" i="7"/>
  <c r="L127" i="7" s="1"/>
  <c r="O52" i="7" s="1"/>
  <c r="M244" i="7"/>
  <c r="M228" i="7"/>
  <c r="L150" i="7"/>
  <c r="L159" i="7" s="1"/>
  <c r="O54" i="7" s="1"/>
  <c r="M118" i="7"/>
  <c r="M127" i="7" s="1"/>
  <c r="P52" i="7" s="1"/>
  <c r="T52" i="7" s="1"/>
  <c r="AO52" i="7" s="1"/>
  <c r="L135" i="7"/>
  <c r="M150" i="7"/>
  <c r="M159" i="7" s="1"/>
  <c r="P54" i="7" s="1"/>
  <c r="T54" i="7" s="1"/>
  <c r="AO54" i="7" s="1"/>
  <c r="M166" i="7" l="1"/>
  <c r="M175" i="7" s="1"/>
  <c r="P55" i="7" s="1"/>
  <c r="T55" i="7" s="1"/>
  <c r="AO55" i="7" s="1"/>
  <c r="L175" i="7"/>
  <c r="O55" i="7" s="1"/>
  <c r="AM55" i="7" s="1"/>
  <c r="S52" i="7"/>
  <c r="AM52" i="7"/>
  <c r="N180" i="7"/>
  <c r="H180" i="7"/>
  <c r="H196" i="7"/>
  <c r="G196" i="7"/>
  <c r="F196" i="7"/>
  <c r="F180" i="7"/>
  <c r="L180" i="7" s="1"/>
  <c r="G180" i="7"/>
  <c r="N196" i="7"/>
  <c r="AM54" i="7"/>
  <c r="S54" i="7"/>
  <c r="BM81" i="2"/>
  <c r="D85" i="4"/>
  <c r="B87" i="4"/>
  <c r="C86" i="4"/>
  <c r="L196" i="7" l="1"/>
  <c r="S55" i="7"/>
  <c r="M180" i="7"/>
  <c r="M196" i="7"/>
  <c r="N197" i="7"/>
  <c r="G181" i="7"/>
  <c r="N229" i="7"/>
  <c r="G229" i="7"/>
  <c r="N181" i="7"/>
  <c r="G245" i="7"/>
  <c r="F229" i="7"/>
  <c r="F245" i="7"/>
  <c r="G197" i="7"/>
  <c r="H181" i="7"/>
  <c r="N245" i="7"/>
  <c r="F181" i="7"/>
  <c r="H245" i="7"/>
  <c r="F197" i="7"/>
  <c r="D86" i="4"/>
  <c r="BM82" i="2"/>
  <c r="H197" i="7"/>
  <c r="H229" i="7"/>
  <c r="H182" i="7"/>
  <c r="C87" i="4"/>
  <c r="B88" i="4"/>
  <c r="L181" i="7" l="1"/>
  <c r="D87" i="4"/>
  <c r="G232" i="7" s="1"/>
  <c r="BM83" i="2"/>
  <c r="N182" i="7"/>
  <c r="H198" i="7"/>
  <c r="F248" i="7"/>
  <c r="F198" i="7"/>
  <c r="F182" i="7"/>
  <c r="L182" i="7" s="1"/>
  <c r="L191" i="7" s="1"/>
  <c r="O56" i="7" s="1"/>
  <c r="G182" i="7"/>
  <c r="M182" i="7" s="1"/>
  <c r="N198" i="7"/>
  <c r="G198" i="7"/>
  <c r="B89" i="4"/>
  <c r="C88" i="4"/>
  <c r="L197" i="7"/>
  <c r="L245" i="7"/>
  <c r="M245" i="7"/>
  <c r="M181" i="7"/>
  <c r="M197" i="7"/>
  <c r="M229" i="7"/>
  <c r="L229" i="7"/>
  <c r="G85" i="7" l="1"/>
  <c r="G283" i="7"/>
  <c r="F232" i="7"/>
  <c r="F85" i="7"/>
  <c r="G248" i="7"/>
  <c r="F133" i="7"/>
  <c r="H232" i="7"/>
  <c r="L232" i="7" s="1"/>
  <c r="M198" i="7"/>
  <c r="N133" i="7"/>
  <c r="H283" i="7"/>
  <c r="M283" i="7" s="1"/>
  <c r="M287" i="7" s="1"/>
  <c r="P61" i="7" s="1"/>
  <c r="T61" i="7" s="1"/>
  <c r="AO61" i="7" s="1"/>
  <c r="F283" i="7"/>
  <c r="G133" i="7"/>
  <c r="H85" i="7"/>
  <c r="L198" i="7"/>
  <c r="L207" i="7" s="1"/>
  <c r="O57" i="7" s="1"/>
  <c r="M191" i="7"/>
  <c r="P56" i="7" s="1"/>
  <c r="T56" i="7" s="1"/>
  <c r="AO56" i="7" s="1"/>
  <c r="M207" i="7"/>
  <c r="P57" i="7" s="1"/>
  <c r="T57" i="7" s="1"/>
  <c r="AO57" i="7" s="1"/>
  <c r="AM56" i="7"/>
  <c r="S56" i="7"/>
  <c r="N85" i="7"/>
  <c r="H248" i="7"/>
  <c r="L248" i="7" s="1"/>
  <c r="H133" i="7"/>
  <c r="L133" i="7" s="1"/>
  <c r="L143" i="7" s="1"/>
  <c r="O53" i="7" s="1"/>
  <c r="BM84" i="2"/>
  <c r="D88" i="4"/>
  <c r="B90" i="4"/>
  <c r="C89" i="4"/>
  <c r="L85" i="7" l="1"/>
  <c r="L95" i="7" s="1"/>
  <c r="O50" i="7" s="1"/>
  <c r="S50" i="7" s="1"/>
  <c r="M232" i="7"/>
  <c r="L283" i="7"/>
  <c r="L287" i="7" s="1"/>
  <c r="O61" i="7" s="1"/>
  <c r="AM61" i="7" s="1"/>
  <c r="M85" i="7"/>
  <c r="M95" i="7" s="1"/>
  <c r="P50" i="7" s="1"/>
  <c r="T50" i="7" s="1"/>
  <c r="AO50" i="7" s="1"/>
  <c r="AM57" i="7"/>
  <c r="S57" i="7"/>
  <c r="AM53" i="7"/>
  <c r="S53" i="7"/>
  <c r="D89" i="4"/>
  <c r="BM85" i="2"/>
  <c r="M248" i="7"/>
  <c r="B91" i="4"/>
  <c r="C90" i="4"/>
  <c r="M133" i="7"/>
  <c r="M143" i="7" s="1"/>
  <c r="P53" i="7" s="1"/>
  <c r="T53" i="7" s="1"/>
  <c r="AO53" i="7" s="1"/>
  <c r="AM50" i="7" l="1"/>
  <c r="S61" i="7"/>
  <c r="BM86" i="2"/>
  <c r="D90" i="4"/>
  <c r="B92" i="4"/>
  <c r="C91" i="4"/>
  <c r="BM87" i="2" l="1"/>
  <c r="D91" i="4"/>
  <c r="B93" i="4"/>
  <c r="C92" i="4"/>
  <c r="BM88" i="2" l="1"/>
  <c r="D92" i="4"/>
  <c r="B94" i="4"/>
  <c r="C93" i="4"/>
  <c r="D93" i="4" l="1"/>
  <c r="BM89" i="2"/>
  <c r="B95" i="4"/>
  <c r="C94" i="4"/>
  <c r="BM90" i="2" l="1"/>
  <c r="D94" i="4"/>
  <c r="B96" i="4"/>
  <c r="C95" i="4"/>
  <c r="BM91" i="2" l="1"/>
  <c r="D95" i="4"/>
  <c r="B97" i="4"/>
  <c r="C96" i="4"/>
  <c r="BM92" i="2" l="1"/>
  <c r="D96" i="4"/>
  <c r="B98" i="4"/>
  <c r="C97" i="4"/>
  <c r="BM93" i="2" l="1"/>
  <c r="D97" i="4"/>
  <c r="B99" i="4"/>
  <c r="C98" i="4"/>
  <c r="BM94" i="2" l="1"/>
  <c r="D98" i="4"/>
  <c r="C99" i="4"/>
  <c r="B100" i="4"/>
  <c r="B101" i="4" l="1"/>
  <c r="C100" i="4"/>
  <c r="BM95" i="2"/>
  <c r="D99" i="4"/>
  <c r="B102" i="4" l="1"/>
  <c r="C101" i="4"/>
  <c r="BM96" i="2"/>
  <c r="D100" i="4"/>
  <c r="BM97" i="2" l="1"/>
  <c r="D101" i="4"/>
  <c r="B103" i="4"/>
  <c r="C102" i="4"/>
  <c r="BM98" i="2" l="1"/>
  <c r="D102" i="4"/>
  <c r="B104" i="4"/>
  <c r="C103" i="4"/>
  <c r="D103" i="4" l="1"/>
  <c r="BM99" i="2"/>
  <c r="B105" i="4"/>
  <c r="C104" i="4"/>
  <c r="D104" i="4" l="1"/>
  <c r="BM100" i="2"/>
  <c r="B106" i="4"/>
  <c r="C105" i="4"/>
  <c r="BM101" i="2" l="1"/>
  <c r="D105" i="4"/>
  <c r="B107" i="4"/>
  <c r="C106" i="4"/>
  <c r="BM102" i="2" l="1"/>
  <c r="D106" i="4"/>
  <c r="C107" i="4"/>
  <c r="B108" i="4"/>
  <c r="B109" i="4" l="1"/>
  <c r="C108" i="4"/>
  <c r="BM103" i="2"/>
  <c r="D107" i="4"/>
  <c r="B110" i="4" l="1"/>
  <c r="C110" i="4" s="1"/>
  <c r="C109" i="4"/>
  <c r="BM104" i="2"/>
  <c r="D108" i="4"/>
  <c r="BM106" i="2" l="1"/>
  <c r="D110" i="4"/>
  <c r="BM105" i="2"/>
  <c r="D109" i="4"/>
  <c r="P240" i="2" l="1"/>
  <c r="X117" i="2"/>
  <c r="N319" i="2"/>
  <c r="P416" i="2"/>
  <c r="Q113" i="2"/>
  <c r="Q342" i="2"/>
  <c r="W387" i="2"/>
  <c r="J167" i="2"/>
  <c r="W38" i="2"/>
  <c r="W167" i="2"/>
  <c r="G115" i="2"/>
  <c r="P367" i="2"/>
  <c r="N41" i="2"/>
  <c r="P316" i="2"/>
  <c r="I367" i="2"/>
  <c r="BC367" i="2" s="1"/>
  <c r="P188" i="2"/>
  <c r="I192" i="2"/>
  <c r="BC192" i="2" s="1"/>
  <c r="O369" i="2"/>
  <c r="V42" i="2"/>
  <c r="H143" i="2"/>
  <c r="AT143" i="2" s="1"/>
  <c r="N290" i="2"/>
  <c r="I142" i="2"/>
  <c r="BC142" i="2" s="1"/>
  <c r="V487" i="2"/>
  <c r="N340" i="2"/>
  <c r="I267" i="2"/>
  <c r="BC267" i="2" s="1"/>
  <c r="I67" i="2"/>
  <c r="BC67" i="2" s="1"/>
  <c r="O340" i="2"/>
  <c r="J243" i="2"/>
  <c r="H100" i="7"/>
  <c r="U362" i="2"/>
  <c r="V139" i="2"/>
  <c r="W216" i="2"/>
  <c r="H441" i="2"/>
  <c r="AT441" i="2" s="1"/>
  <c r="P189" i="2"/>
  <c r="N187" i="2"/>
  <c r="W341" i="2"/>
  <c r="U344" i="2"/>
  <c r="Q244" i="2"/>
  <c r="P88" i="2"/>
  <c r="N394" i="2"/>
  <c r="U444" i="2"/>
  <c r="O43" i="2"/>
  <c r="J168" i="2"/>
  <c r="J368" i="2"/>
  <c r="W417" i="2"/>
  <c r="H212" i="7"/>
  <c r="U194" i="2"/>
  <c r="J169" i="2"/>
  <c r="P392" i="2"/>
  <c r="O438" i="2"/>
  <c r="V241" i="2"/>
  <c r="H319" i="2"/>
  <c r="AT319" i="2" s="1"/>
  <c r="P218" i="2"/>
  <c r="W369" i="2"/>
  <c r="H91" i="2"/>
  <c r="Q64" i="2"/>
  <c r="W439" i="2"/>
  <c r="V216" i="2"/>
  <c r="J217" i="2"/>
  <c r="H394" i="2"/>
  <c r="AT394" i="2" s="1"/>
  <c r="P267" i="2"/>
  <c r="J42" i="2"/>
  <c r="I41" i="2"/>
  <c r="BC41" i="2" s="1"/>
  <c r="X213" i="2"/>
  <c r="G342" i="2"/>
  <c r="W44" i="2"/>
  <c r="O191" i="2"/>
  <c r="W488" i="2"/>
  <c r="Q367" i="2"/>
  <c r="J369" i="2"/>
  <c r="O269" i="2"/>
  <c r="O290" i="2"/>
  <c r="X317" i="2"/>
  <c r="X388" i="2"/>
  <c r="N140" i="2"/>
  <c r="H117" i="2"/>
  <c r="AT117" i="2" s="1"/>
  <c r="H267" i="2"/>
  <c r="AT267" i="2" s="1"/>
  <c r="G438" i="2"/>
  <c r="P40" i="2"/>
  <c r="O439" i="2"/>
  <c r="P490" i="2"/>
  <c r="U367" i="2"/>
  <c r="U342" i="2"/>
  <c r="X292" i="2"/>
  <c r="N437" i="2"/>
  <c r="H437" i="2"/>
  <c r="N412" i="2"/>
  <c r="Q319" i="2"/>
  <c r="H417" i="2"/>
  <c r="AT417" i="2" s="1"/>
  <c r="N219" i="2"/>
  <c r="H144" i="2"/>
  <c r="AT144" i="2" s="1"/>
  <c r="H67" i="2"/>
  <c r="AT67" i="2" s="1"/>
  <c r="P66" i="2"/>
  <c r="O112" i="2"/>
  <c r="G344" i="2"/>
  <c r="N418" i="2"/>
  <c r="Q387" i="2"/>
  <c r="X116" i="2"/>
  <c r="X112" i="2"/>
  <c r="Q212" i="2"/>
  <c r="Q194" i="2"/>
  <c r="W467" i="2"/>
  <c r="P443" i="2"/>
  <c r="J242" i="2"/>
  <c r="V264" i="2"/>
  <c r="V316" i="2"/>
  <c r="O462" i="2"/>
  <c r="U191" i="2"/>
  <c r="W213" i="2"/>
  <c r="V267" i="2"/>
  <c r="N368" i="2"/>
  <c r="P466" i="2"/>
  <c r="W218" i="2"/>
  <c r="Q337" i="2"/>
  <c r="N139" i="2"/>
  <c r="Q91" i="2"/>
  <c r="P438" i="2"/>
  <c r="P141" i="2"/>
  <c r="I141" i="2"/>
  <c r="BC141" i="2" s="1"/>
  <c r="U168" i="2"/>
  <c r="Q90" i="2"/>
  <c r="W238" i="2"/>
  <c r="W88" i="2"/>
  <c r="Q463" i="2"/>
  <c r="G117" i="2"/>
  <c r="X268" i="2"/>
  <c r="N166" i="2"/>
  <c r="X413" i="2"/>
  <c r="V469" i="2"/>
  <c r="P142" i="2"/>
  <c r="W119" i="2"/>
  <c r="J392" i="2"/>
  <c r="O141" i="2"/>
  <c r="U190" i="2"/>
  <c r="O66" i="2"/>
  <c r="Q412" i="2"/>
  <c r="X69" i="2"/>
  <c r="F100" i="7"/>
  <c r="P91" i="2"/>
  <c r="X491" i="2"/>
  <c r="P494" i="2"/>
  <c r="J293" i="2"/>
  <c r="N215" i="2"/>
  <c r="Q216" i="2"/>
  <c r="G169" i="2"/>
  <c r="N438" i="2"/>
  <c r="H392" i="2"/>
  <c r="AT392" i="2" s="1"/>
  <c r="W66" i="2"/>
  <c r="Q265" i="2"/>
  <c r="X416" i="2"/>
  <c r="P289" i="2"/>
  <c r="W344" i="2"/>
  <c r="H138" i="2"/>
  <c r="O416" i="2"/>
  <c r="O215" i="2"/>
  <c r="H194" i="2"/>
  <c r="AT194" i="2" s="1"/>
  <c r="W91" i="2"/>
  <c r="U69" i="2"/>
  <c r="U264" i="2"/>
  <c r="Q139" i="2"/>
  <c r="Q316" i="2"/>
  <c r="G269" i="2"/>
  <c r="V219" i="2"/>
  <c r="W493" i="2"/>
  <c r="P366" i="2"/>
  <c r="N441" i="2"/>
  <c r="N88" i="2"/>
  <c r="X215" i="2"/>
  <c r="V238" i="2"/>
  <c r="H444" i="2"/>
  <c r="AT444" i="2" s="1"/>
  <c r="W163" i="2"/>
  <c r="V217" i="2"/>
  <c r="X165" i="2"/>
  <c r="U438" i="2"/>
  <c r="X291" i="2"/>
  <c r="P467" i="2"/>
  <c r="P439" i="2"/>
  <c r="W364" i="2"/>
  <c r="I193" i="2"/>
  <c r="BC193" i="2" s="1"/>
  <c r="P337" i="2"/>
  <c r="W164" i="2"/>
  <c r="N260" i="7"/>
  <c r="O389" i="2"/>
  <c r="O342" i="2"/>
  <c r="N67" i="2"/>
  <c r="Q340" i="2"/>
  <c r="X42" i="2"/>
  <c r="J38" i="2"/>
  <c r="V112" i="2"/>
  <c r="X244" i="2"/>
  <c r="O314" i="2"/>
  <c r="V194" i="2"/>
  <c r="X164" i="2"/>
  <c r="W290" i="2"/>
  <c r="H141" i="2"/>
  <c r="AT141" i="2" s="1"/>
  <c r="I118" i="2"/>
  <c r="BC118" i="2" s="1"/>
  <c r="X319" i="2"/>
  <c r="O240" i="2"/>
  <c r="W492" i="2"/>
  <c r="V366" i="2"/>
  <c r="N291" i="2"/>
  <c r="I439" i="2"/>
  <c r="BC439" i="2" s="1"/>
  <c r="X41" i="2"/>
  <c r="W92" i="2"/>
  <c r="V439" i="2"/>
  <c r="U462" i="2"/>
  <c r="U365" i="2"/>
  <c r="W414" i="2"/>
  <c r="J115" i="2"/>
  <c r="G141" i="2"/>
  <c r="J419" i="2"/>
  <c r="X439" i="2"/>
  <c r="G260" i="7"/>
  <c r="W137" i="2"/>
  <c r="U314" i="2"/>
  <c r="J265" i="2"/>
  <c r="X487" i="2"/>
  <c r="X218" i="2"/>
  <c r="Q143" i="2"/>
  <c r="U319" i="2"/>
  <c r="X414" i="2"/>
  <c r="O219" i="2"/>
  <c r="H40" i="2"/>
  <c r="X367" i="2"/>
  <c r="H318" i="2"/>
  <c r="AT318" i="2" s="1"/>
  <c r="V138" i="2"/>
  <c r="I143" i="2"/>
  <c r="BC143" i="2" s="1"/>
  <c r="U67" i="2"/>
  <c r="W192" i="2"/>
  <c r="I318" i="2"/>
  <c r="BC318" i="2" s="1"/>
  <c r="P192" i="2"/>
  <c r="Q269" i="2"/>
  <c r="U218" i="2"/>
  <c r="I43" i="2"/>
  <c r="BC43" i="2" s="1"/>
  <c r="J144" i="2"/>
  <c r="N416" i="2"/>
  <c r="P38" i="2"/>
  <c r="N469" i="2"/>
  <c r="N390" i="2"/>
  <c r="Q162" i="2"/>
  <c r="H260" i="7"/>
  <c r="P419" i="2"/>
  <c r="Q487" i="2"/>
  <c r="P140" i="2"/>
  <c r="U337" i="2"/>
  <c r="X93" i="2"/>
  <c r="H343" i="2"/>
  <c r="AT343" i="2" s="1"/>
  <c r="N489" i="2"/>
  <c r="P287" i="2"/>
  <c r="V117" i="2"/>
  <c r="G244" i="2"/>
  <c r="W90" i="2"/>
  <c r="F250" i="7"/>
  <c r="U62" i="2"/>
  <c r="I68" i="2"/>
  <c r="BC68" i="2" s="1"/>
  <c r="V213" i="2"/>
  <c r="P167" i="2"/>
  <c r="O418" i="2"/>
  <c r="Q189" i="2"/>
  <c r="P116" i="2"/>
  <c r="H218" i="2"/>
  <c r="AT218" i="2" s="1"/>
  <c r="G93" i="2"/>
  <c r="P92" i="2"/>
  <c r="H293" i="2"/>
  <c r="AT293" i="2" s="1"/>
  <c r="Q243" i="2"/>
  <c r="O188" i="2"/>
  <c r="U244" i="2"/>
  <c r="W438" i="2"/>
  <c r="W67" i="2"/>
  <c r="J44" i="2"/>
  <c r="G41" i="2"/>
  <c r="V162" i="2"/>
  <c r="G394" i="2"/>
  <c r="Q215" i="2"/>
  <c r="W339" i="2"/>
  <c r="O143" i="2"/>
  <c r="U493" i="2"/>
  <c r="P118" i="2"/>
  <c r="J143" i="2"/>
  <c r="U443" i="2"/>
  <c r="X90" i="2"/>
  <c r="V92" i="2"/>
  <c r="P187" i="2"/>
  <c r="G242" i="2"/>
  <c r="Q365" i="2"/>
  <c r="W140" i="2"/>
  <c r="X290" i="2"/>
  <c r="P164" i="2"/>
  <c r="H42" i="2"/>
  <c r="AT42" i="2" s="1"/>
  <c r="N267" i="2"/>
  <c r="X462" i="2"/>
  <c r="U63" i="2"/>
  <c r="J43" i="2"/>
  <c r="N487" i="2"/>
  <c r="O268" i="2"/>
  <c r="W412" i="2"/>
  <c r="O492" i="2"/>
  <c r="W318" i="2"/>
  <c r="G367" i="2"/>
  <c r="X163" i="2"/>
  <c r="X489" i="2"/>
  <c r="O192" i="2"/>
  <c r="H440" i="2"/>
  <c r="AT440" i="2" s="1"/>
  <c r="G38" i="2"/>
  <c r="G318" i="2"/>
  <c r="J117" i="2"/>
  <c r="W337" i="2"/>
  <c r="H119" i="2"/>
  <c r="AT119" i="2" s="1"/>
  <c r="W237" i="2"/>
  <c r="W289" i="2"/>
  <c r="U293" i="2"/>
  <c r="V417" i="2"/>
  <c r="O267" i="2"/>
  <c r="J119" i="2"/>
  <c r="F249" i="7"/>
  <c r="V88" i="2"/>
  <c r="Q92" i="2"/>
  <c r="J138" i="2"/>
  <c r="F233" i="7"/>
  <c r="G143" i="2"/>
  <c r="H44" i="2"/>
  <c r="AT44" i="2" s="1"/>
  <c r="J439" i="2"/>
  <c r="O238" i="2"/>
  <c r="Q493" i="2"/>
  <c r="O114" i="2"/>
  <c r="N213" i="2"/>
  <c r="U469" i="2"/>
  <c r="V317" i="2"/>
  <c r="G439" i="2"/>
  <c r="U366" i="2"/>
  <c r="G100" i="7"/>
  <c r="M100" i="7" s="1"/>
  <c r="X114" i="2"/>
  <c r="X365" i="2"/>
  <c r="P217" i="2"/>
  <c r="I419" i="2"/>
  <c r="BC419" i="2" s="1"/>
  <c r="W214" i="2"/>
  <c r="W266" i="2"/>
  <c r="N89" i="2"/>
  <c r="I117" i="2"/>
  <c r="BC117" i="2" s="1"/>
  <c r="W168" i="2"/>
  <c r="W394" i="2"/>
  <c r="Q166" i="2"/>
  <c r="W113" i="2"/>
  <c r="W242" i="2"/>
  <c r="U265" i="2"/>
  <c r="V319" i="2"/>
  <c r="O490" i="2"/>
  <c r="U138" i="2"/>
  <c r="P444" i="2"/>
  <c r="W287" i="2"/>
  <c r="O315" i="2"/>
  <c r="H118" i="2"/>
  <c r="AT118" i="2" s="1"/>
  <c r="U466" i="2"/>
  <c r="P67" i="2"/>
  <c r="U242" i="2"/>
  <c r="J93" i="2"/>
  <c r="O293" i="2"/>
  <c r="H142" i="2"/>
  <c r="AT142" i="2" s="1"/>
  <c r="N490" i="2"/>
  <c r="U413" i="2"/>
  <c r="V292" i="2"/>
  <c r="N92" i="2"/>
  <c r="N100" i="7"/>
  <c r="O442" i="2"/>
  <c r="Q242" i="2"/>
  <c r="W241" i="2"/>
  <c r="G249" i="7"/>
  <c r="V113" i="2"/>
  <c r="P63" i="2"/>
  <c r="U117" i="2"/>
  <c r="O67" i="2"/>
  <c r="W444" i="2"/>
  <c r="P394" i="2"/>
  <c r="U38" i="2"/>
  <c r="V41" i="2"/>
  <c r="I93" i="2"/>
  <c r="BC93" i="2" s="1"/>
  <c r="H167" i="2"/>
  <c r="AT167" i="2" s="1"/>
  <c r="J116" i="2"/>
  <c r="W43" i="2"/>
  <c r="H38" i="2"/>
  <c r="AT38" i="2" s="1"/>
  <c r="U368" i="2"/>
  <c r="N194" i="2"/>
  <c r="G419" i="2"/>
  <c r="O216" i="2"/>
  <c r="P338" i="2"/>
  <c r="H249" i="7"/>
  <c r="X315" i="2"/>
  <c r="Q94" i="2"/>
  <c r="U414" i="2"/>
  <c r="W490" i="2"/>
  <c r="V294" i="2"/>
  <c r="X113" i="2"/>
  <c r="U243" i="2"/>
  <c r="X217" i="2"/>
  <c r="N464" i="2"/>
  <c r="V218" i="2"/>
  <c r="N342" i="2"/>
  <c r="J440" i="2"/>
  <c r="U167" i="2"/>
  <c r="N239" i="2"/>
  <c r="X287" i="2"/>
  <c r="J142" i="2"/>
  <c r="Q218" i="2"/>
  <c r="H438" i="2"/>
  <c r="N292" i="2"/>
  <c r="X387" i="2"/>
  <c r="V289" i="2"/>
  <c r="U94" i="2"/>
  <c r="I44" i="2"/>
  <c r="BC44" i="2" s="1"/>
  <c r="N238" i="2"/>
  <c r="N293" i="2"/>
  <c r="X241" i="2"/>
  <c r="X194" i="2"/>
  <c r="O187" i="2"/>
  <c r="Q441" i="2"/>
  <c r="U89" i="2"/>
  <c r="H442" i="2"/>
  <c r="AT442" i="2" s="1"/>
  <c r="W215" i="2"/>
  <c r="O137" i="2"/>
  <c r="U437" i="2"/>
  <c r="Q168" i="2"/>
  <c r="X493" i="2"/>
  <c r="P241" i="2"/>
  <c r="O337" i="2"/>
  <c r="U490" i="2"/>
  <c r="Q287" i="2"/>
  <c r="Q439" i="2"/>
  <c r="U37" i="2"/>
  <c r="U418" i="2"/>
  <c r="X139" i="2"/>
  <c r="Q293" i="2"/>
  <c r="X318" i="2"/>
  <c r="Q37" i="2"/>
  <c r="X362" i="2"/>
  <c r="X187" i="2"/>
  <c r="N189" i="2"/>
  <c r="U439" i="2"/>
  <c r="N165" i="2"/>
  <c r="Q363" i="2"/>
  <c r="Q112" i="2"/>
  <c r="Q239" i="2"/>
  <c r="U290" i="2"/>
  <c r="I242" i="2"/>
  <c r="BC242" i="2" s="1"/>
  <c r="V389" i="2"/>
  <c r="V312" i="2"/>
  <c r="Q388" i="2"/>
  <c r="O237" i="2"/>
  <c r="X88" i="2"/>
  <c r="X316" i="2"/>
  <c r="I144" i="2"/>
  <c r="BC144" i="2" s="1"/>
  <c r="V314" i="2"/>
  <c r="V392" i="2"/>
  <c r="Q438" i="2"/>
  <c r="V490" i="2"/>
  <c r="I394" i="2"/>
  <c r="BC394" i="2" s="1"/>
  <c r="N491" i="2"/>
  <c r="O239" i="2"/>
  <c r="U241" i="2"/>
  <c r="N366" i="2"/>
  <c r="U212" i="2"/>
  <c r="I368" i="2"/>
  <c r="BC368" i="2" s="1"/>
  <c r="U467" i="2"/>
  <c r="O365" i="2"/>
  <c r="P314" i="2"/>
  <c r="W64" i="2"/>
  <c r="N241" i="2"/>
  <c r="O368" i="2"/>
  <c r="O366" i="2"/>
  <c r="V291" i="2"/>
  <c r="U266" i="2"/>
  <c r="P238" i="2"/>
  <c r="V43" i="2"/>
  <c r="P166" i="2"/>
  <c r="Q313" i="2"/>
  <c r="W93" i="2"/>
  <c r="O87" i="2"/>
  <c r="O412" i="2"/>
  <c r="O165" i="2"/>
  <c r="P317" i="2"/>
  <c r="U214" i="2"/>
  <c r="X314" i="2"/>
  <c r="X488" i="2"/>
  <c r="U468" i="2"/>
  <c r="G194" i="2"/>
  <c r="X466" i="2"/>
  <c r="U288" i="2"/>
  <c r="P414" i="2"/>
  <c r="U492" i="2"/>
  <c r="N316" i="2"/>
  <c r="V190" i="2"/>
  <c r="U90" i="2"/>
  <c r="P469" i="2"/>
  <c r="X137" i="2"/>
  <c r="Q44" i="2"/>
  <c r="Q368" i="2"/>
  <c r="O69" i="2"/>
  <c r="G44" i="2"/>
  <c r="V341" i="2"/>
  <c r="P64" i="2"/>
  <c r="W39" i="2"/>
  <c r="N294" i="2"/>
  <c r="X87" i="2"/>
  <c r="G368" i="2"/>
  <c r="W190" i="2"/>
  <c r="I417" i="2"/>
  <c r="BC417" i="2" s="1"/>
  <c r="Q466" i="2"/>
  <c r="X418" i="2"/>
  <c r="Q317" i="2"/>
  <c r="V188" i="2"/>
  <c r="P437" i="2"/>
  <c r="O39" i="2"/>
  <c r="X92" i="2"/>
  <c r="P363" i="2"/>
  <c r="I393" i="2"/>
  <c r="BC393" i="2" s="1"/>
  <c r="Q137" i="2"/>
  <c r="P391" i="2"/>
  <c r="I392" i="2"/>
  <c r="BC392" i="2" s="1"/>
  <c r="V212" i="2"/>
  <c r="O88" i="2"/>
  <c r="Q264" i="2"/>
  <c r="X438" i="2"/>
  <c r="V369" i="2"/>
  <c r="X464" i="2"/>
  <c r="J418" i="2"/>
  <c r="H165" i="2"/>
  <c r="AT165" i="2" s="1"/>
  <c r="W342" i="2"/>
  <c r="Q240" i="2"/>
  <c r="U339" i="2"/>
  <c r="N264" i="2"/>
  <c r="U287" i="2"/>
  <c r="W143" i="2"/>
  <c r="Q219" i="2"/>
  <c r="W362" i="2"/>
  <c r="W265" i="2"/>
  <c r="X490" i="2"/>
  <c r="O441" i="2"/>
  <c r="G165" i="2"/>
  <c r="V118" i="2"/>
  <c r="Q62" i="2"/>
  <c r="U189" i="2"/>
  <c r="X189" i="2"/>
  <c r="N43" i="2"/>
  <c r="H250" i="7"/>
  <c r="P488" i="2"/>
  <c r="Q118" i="2"/>
  <c r="P312" i="2"/>
  <c r="U118" i="2"/>
  <c r="O338" i="2"/>
  <c r="G114" i="2"/>
  <c r="N192" i="2"/>
  <c r="W63" i="2"/>
  <c r="Q165" i="2"/>
  <c r="U140" i="2"/>
  <c r="X118" i="2"/>
  <c r="Q190" i="2"/>
  <c r="P291" i="2"/>
  <c r="J367" i="2"/>
  <c r="U113" i="2"/>
  <c r="W115" i="2"/>
  <c r="J444" i="2"/>
  <c r="I168" i="2"/>
  <c r="BC168" i="2" s="1"/>
  <c r="X391" i="2"/>
  <c r="J240" i="2"/>
  <c r="Q88" i="2"/>
  <c r="Q267" i="2"/>
  <c r="J437" i="2"/>
  <c r="H243" i="2"/>
  <c r="AT243" i="2" s="1"/>
  <c r="O313" i="2"/>
  <c r="P117" i="2"/>
  <c r="X243" i="2"/>
  <c r="I138" i="2"/>
  <c r="Q263" i="2"/>
  <c r="X440" i="2"/>
  <c r="W440" i="2"/>
  <c r="Q393" i="2"/>
  <c r="Q63" i="2"/>
  <c r="N93" i="2"/>
  <c r="U294" i="2"/>
  <c r="P318" i="2"/>
  <c r="U364" i="2"/>
  <c r="X267" i="2"/>
  <c r="G219" i="2"/>
  <c r="H69" i="2"/>
  <c r="AT69" i="2" s="1"/>
  <c r="V89" i="2"/>
  <c r="G265" i="2"/>
  <c r="U363" i="2"/>
  <c r="H268" i="2"/>
  <c r="AT268" i="2" s="1"/>
  <c r="P412" i="2"/>
  <c r="N94" i="2"/>
  <c r="W367" i="2"/>
  <c r="J394" i="2"/>
  <c r="W264" i="2"/>
  <c r="O287" i="2"/>
  <c r="N217" i="2"/>
  <c r="N66" i="2"/>
  <c r="N318" i="2"/>
  <c r="U93" i="2"/>
  <c r="P315" i="2"/>
  <c r="W42" i="2"/>
  <c r="I444" i="2"/>
  <c r="BC444" i="2" s="1"/>
  <c r="U44" i="2"/>
  <c r="J219" i="2"/>
  <c r="O41" i="2"/>
  <c r="W487" i="2"/>
  <c r="U164" i="2"/>
  <c r="V362" i="2"/>
  <c r="G250" i="7"/>
  <c r="M250" i="7" s="1"/>
  <c r="P269" i="2"/>
  <c r="G266" i="2"/>
  <c r="P292" i="2"/>
  <c r="N387" i="2"/>
  <c r="J68" i="2"/>
  <c r="G217" i="2"/>
  <c r="W89" i="2"/>
  <c r="P163" i="2"/>
  <c r="G68" i="2"/>
  <c r="O190" i="2"/>
  <c r="O362" i="2"/>
  <c r="O94" i="2"/>
  <c r="N367" i="2"/>
  <c r="H439" i="2"/>
  <c r="AT439" i="2" s="1"/>
  <c r="N494" i="2"/>
  <c r="U40" i="2"/>
  <c r="Q416" i="2"/>
  <c r="W413" i="2"/>
  <c r="W393" i="2"/>
  <c r="W390" i="2"/>
  <c r="W193" i="2"/>
  <c r="N116" i="2"/>
  <c r="X144" i="2"/>
  <c r="P244" i="2"/>
  <c r="G119" i="2"/>
  <c r="J67" i="2"/>
  <c r="V494" i="2"/>
  <c r="P288" i="2"/>
  <c r="N69" i="2"/>
  <c r="G294" i="2"/>
  <c r="W269" i="2"/>
  <c r="P139" i="2"/>
  <c r="N392" i="2"/>
  <c r="W365" i="2"/>
  <c r="P293" i="2"/>
  <c r="I38" i="2"/>
  <c r="Q238" i="2"/>
  <c r="P340" i="2"/>
  <c r="P212" i="2"/>
  <c r="W188" i="2"/>
  <c r="N144" i="2"/>
  <c r="H115" i="2"/>
  <c r="AT115" i="2" s="1"/>
  <c r="V68" i="2"/>
  <c r="N265" i="2"/>
  <c r="N363" i="2"/>
  <c r="H213" i="7"/>
  <c r="U267" i="2"/>
  <c r="J417" i="2"/>
  <c r="Q366" i="2"/>
  <c r="Q415" i="2"/>
  <c r="X162" i="2"/>
  <c r="J114" i="2"/>
  <c r="X262" i="2"/>
  <c r="Q217" i="2"/>
  <c r="W416" i="2"/>
  <c r="I269" i="2"/>
  <c r="BC269" i="2" s="1"/>
  <c r="J141" i="2"/>
  <c r="H240" i="2"/>
  <c r="AT240" i="2" s="1"/>
  <c r="P393" i="2"/>
  <c r="P144" i="2"/>
  <c r="N104" i="7"/>
  <c r="I418" i="2"/>
  <c r="BC418" i="2" s="1"/>
  <c r="G319" i="2"/>
  <c r="V415" i="2"/>
  <c r="G243" i="2"/>
  <c r="U238" i="2"/>
  <c r="I40" i="2"/>
  <c r="O312" i="2"/>
  <c r="U169" i="2"/>
  <c r="N287" i="2"/>
  <c r="W317" i="2"/>
  <c r="P112" i="2"/>
  <c r="F260" i="7"/>
  <c r="O317" i="2"/>
  <c r="W65" i="2"/>
  <c r="V163" i="2"/>
  <c r="U163" i="2"/>
  <c r="N288" i="2"/>
  <c r="O68" i="2"/>
  <c r="P388" i="2"/>
  <c r="Q465" i="2"/>
  <c r="G168" i="2"/>
  <c r="V37" i="2"/>
  <c r="O468" i="2"/>
  <c r="X337" i="2"/>
  <c r="Q41" i="2"/>
  <c r="H116" i="2"/>
  <c r="AT116" i="2" s="1"/>
  <c r="J393" i="2"/>
  <c r="O217" i="2"/>
  <c r="N91" i="2"/>
  <c r="V119" i="2"/>
  <c r="G192" i="2"/>
  <c r="O341" i="2"/>
  <c r="G293" i="2"/>
  <c r="P368" i="2"/>
  <c r="O292" i="2"/>
  <c r="G116" i="2"/>
  <c r="P344" i="2"/>
  <c r="N391" i="2"/>
  <c r="Q442" i="2"/>
  <c r="N314" i="2"/>
  <c r="P194" i="2"/>
  <c r="X140" i="2"/>
  <c r="V114" i="2"/>
  <c r="U392" i="2"/>
  <c r="H101" i="7"/>
  <c r="J441" i="2"/>
  <c r="X191" i="2"/>
  <c r="X119" i="2"/>
  <c r="V215" i="2"/>
  <c r="N143" i="2"/>
  <c r="I217" i="2"/>
  <c r="BC217" i="2" s="1"/>
  <c r="O37" i="2"/>
  <c r="O40" i="2"/>
  <c r="X343" i="2"/>
  <c r="V288" i="2"/>
  <c r="W469" i="2"/>
  <c r="I342" i="2"/>
  <c r="BC342" i="2" s="1"/>
  <c r="J442" i="2"/>
  <c r="W363" i="2"/>
  <c r="N338" i="2"/>
  <c r="O419" i="2"/>
  <c r="P89" i="2"/>
  <c r="O414" i="2"/>
  <c r="X212" i="2"/>
  <c r="Q315" i="2"/>
  <c r="H294" i="2"/>
  <c r="AT294" i="2" s="1"/>
  <c r="H193" i="2"/>
  <c r="AT193" i="2" s="1"/>
  <c r="Q288" i="2"/>
  <c r="V44" i="2"/>
  <c r="V391" i="2"/>
  <c r="N163" i="2"/>
  <c r="H94" i="2"/>
  <c r="AT94" i="2" s="1"/>
  <c r="W463" i="2"/>
  <c r="O463" i="2"/>
  <c r="O42" i="2"/>
  <c r="G343" i="2"/>
  <c r="N141" i="2"/>
  <c r="N105" i="7"/>
  <c r="X437" i="2"/>
  <c r="V388" i="2"/>
  <c r="O265" i="2"/>
  <c r="O319" i="2"/>
  <c r="P242" i="2"/>
  <c r="O387" i="2"/>
  <c r="V290" i="2"/>
  <c r="N64" i="2"/>
  <c r="I344" i="2"/>
  <c r="BC344" i="2" s="1"/>
  <c r="G118" i="2"/>
  <c r="G233" i="7"/>
  <c r="I240" i="2"/>
  <c r="BC240" i="2" s="1"/>
  <c r="V441" i="2"/>
  <c r="V368" i="2"/>
  <c r="P143" i="2"/>
  <c r="Q462" i="2"/>
  <c r="V65" i="2"/>
  <c r="G442" i="2"/>
  <c r="U487" i="2"/>
  <c r="G69" i="2"/>
  <c r="W263" i="2"/>
  <c r="P190" i="2"/>
  <c r="J166" i="2"/>
  <c r="U416" i="2"/>
  <c r="P193" i="2"/>
  <c r="P219" i="2"/>
  <c r="U442" i="2"/>
  <c r="N243" i="2"/>
  <c r="P216" i="2"/>
  <c r="X394" i="2"/>
  <c r="N393" i="2"/>
  <c r="H233" i="7"/>
  <c r="I442" i="2"/>
  <c r="BC442" i="2" s="1"/>
  <c r="O64" i="2"/>
  <c r="W366" i="2"/>
  <c r="P493" i="2"/>
  <c r="G94" i="2"/>
  <c r="V367" i="2"/>
  <c r="W291" i="2"/>
  <c r="P115" i="2"/>
  <c r="W142" i="2"/>
  <c r="U141" i="2"/>
  <c r="O142" i="2"/>
  <c r="X37" i="2"/>
  <c r="H367" i="2"/>
  <c r="AT367" i="2" s="1"/>
  <c r="X389" i="2"/>
  <c r="V363" i="2"/>
  <c r="J69" i="2"/>
  <c r="V493" i="2"/>
  <c r="J41" i="2"/>
  <c r="Q443" i="2"/>
  <c r="V438" i="2"/>
  <c r="N40" i="2"/>
  <c r="X293" i="2"/>
  <c r="P365" i="2"/>
  <c r="P44" i="2"/>
  <c r="U412" i="2"/>
  <c r="W87" i="2"/>
  <c r="U217" i="2"/>
  <c r="V38" i="2"/>
  <c r="U441" i="2"/>
  <c r="J267" i="2"/>
  <c r="X219" i="2"/>
  <c r="X238" i="2"/>
  <c r="V442" i="2"/>
  <c r="Q116" i="2"/>
  <c r="P168" i="2"/>
  <c r="O294" i="2"/>
  <c r="U464" i="2"/>
  <c r="I440" i="2"/>
  <c r="BC440" i="2" s="1"/>
  <c r="X264" i="2"/>
  <c r="N369" i="2"/>
  <c r="P468" i="2"/>
  <c r="O189" i="2"/>
  <c r="N190" i="2"/>
  <c r="X441" i="2"/>
  <c r="P213" i="2"/>
  <c r="O144" i="2"/>
  <c r="Q338" i="2"/>
  <c r="V462" i="2"/>
  <c r="I167" i="2"/>
  <c r="BC167" i="2" s="1"/>
  <c r="N114" i="2"/>
  <c r="P43" i="2"/>
  <c r="W243" i="2"/>
  <c r="O464" i="2"/>
  <c r="O437" i="2"/>
  <c r="P389" i="2"/>
  <c r="O243" i="2"/>
  <c r="H93" i="2"/>
  <c r="AT93" i="2" s="1"/>
  <c r="P169" i="2"/>
  <c r="O93" i="2"/>
  <c r="Q417" i="2"/>
  <c r="W244" i="2"/>
  <c r="Q169" i="2"/>
  <c r="V412" i="2"/>
  <c r="X38" i="2"/>
  <c r="V339" i="2"/>
  <c r="U39" i="2"/>
  <c r="W116" i="2"/>
  <c r="X68" i="2"/>
  <c r="Q188" i="2"/>
  <c r="U494" i="2"/>
  <c r="O316" i="2"/>
  <c r="X242" i="2"/>
  <c r="U263" i="2"/>
  <c r="V437" i="2"/>
  <c r="N365" i="2"/>
  <c r="W437" i="2"/>
  <c r="I169" i="2"/>
  <c r="BC169" i="2" s="1"/>
  <c r="O491" i="2"/>
  <c r="P343" i="2"/>
  <c r="O415" i="2"/>
  <c r="W138" i="2"/>
  <c r="Q42" i="2"/>
  <c r="V467" i="2"/>
  <c r="P492" i="2"/>
  <c r="V318" i="2"/>
  <c r="I294" i="2"/>
  <c r="BC294" i="2" s="1"/>
  <c r="G212" i="7"/>
  <c r="O390" i="2"/>
  <c r="W144" i="2"/>
  <c r="U338" i="2"/>
  <c r="G268" i="2"/>
  <c r="J92" i="2"/>
  <c r="U115" i="2"/>
  <c r="N492" i="2"/>
  <c r="W187" i="2"/>
  <c r="N268" i="2"/>
  <c r="U340" i="2"/>
  <c r="Q318" i="2"/>
  <c r="V418" i="2"/>
  <c r="W494" i="2"/>
  <c r="P119" i="2"/>
  <c r="U313" i="2"/>
  <c r="V142" i="2"/>
  <c r="V419" i="2"/>
  <c r="N337" i="2"/>
  <c r="O262" i="2"/>
  <c r="N44" i="2"/>
  <c r="X115" i="2"/>
  <c r="V191" i="2"/>
  <c r="W312" i="2"/>
  <c r="N488" i="2"/>
  <c r="U143" i="2"/>
  <c r="P418" i="2"/>
  <c r="N162" i="2"/>
  <c r="P262" i="2"/>
  <c r="W316" i="2"/>
  <c r="P417" i="2"/>
  <c r="Q164" i="2"/>
  <c r="Q419" i="2"/>
  <c r="H269" i="2"/>
  <c r="AT269" i="2" s="1"/>
  <c r="W40" i="2"/>
  <c r="V287" i="2"/>
  <c r="X66" i="2"/>
  <c r="G240" i="2"/>
  <c r="N467" i="2"/>
  <c r="Q437" i="2"/>
  <c r="V464" i="2"/>
  <c r="N344" i="2"/>
  <c r="V64" i="2"/>
  <c r="O344" i="2"/>
  <c r="P489" i="2"/>
  <c r="P440" i="2"/>
  <c r="I194" i="2"/>
  <c r="BC194" i="2" s="1"/>
  <c r="V443" i="2"/>
  <c r="O493" i="2"/>
  <c r="W462" i="2"/>
  <c r="N413" i="2"/>
  <c r="V166" i="2"/>
  <c r="O264" i="2"/>
  <c r="N138" i="2"/>
  <c r="W489" i="2"/>
  <c r="I441" i="2"/>
  <c r="BC441" i="2" s="1"/>
  <c r="Q138" i="2"/>
  <c r="X340" i="2"/>
  <c r="V239" i="2"/>
  <c r="V167" i="2"/>
  <c r="Q89" i="2"/>
  <c r="N493" i="2"/>
  <c r="U488" i="2"/>
  <c r="P62" i="2"/>
  <c r="V393" i="2"/>
  <c r="G91" i="2"/>
  <c r="O388" i="2"/>
  <c r="Q144" i="2"/>
  <c r="O138" i="2"/>
  <c r="Q464" i="2"/>
  <c r="U88" i="2"/>
  <c r="N119" i="2"/>
  <c r="G144" i="2"/>
  <c r="P342" i="2"/>
  <c r="W443" i="2"/>
  <c r="Q262" i="2"/>
  <c r="N313" i="2"/>
  <c r="N440" i="2"/>
  <c r="N317" i="2"/>
  <c r="X364" i="2"/>
  <c r="U114" i="2"/>
  <c r="O162" i="2"/>
  <c r="O92" i="2"/>
  <c r="X366" i="2"/>
  <c r="P462" i="2"/>
  <c r="X239" i="2"/>
  <c r="V67" i="2"/>
  <c r="U192" i="2"/>
  <c r="J269" i="2"/>
  <c r="X169" i="2"/>
  <c r="W194" i="2"/>
  <c r="G241" i="2"/>
  <c r="X64" i="2"/>
  <c r="H393" i="2"/>
  <c r="AT393" i="2" s="1"/>
  <c r="N341" i="2"/>
  <c r="O44" i="2"/>
  <c r="N193" i="2"/>
  <c r="I265" i="2"/>
  <c r="BC265" i="2" s="1"/>
  <c r="U239" i="2"/>
  <c r="V364" i="2"/>
  <c r="G42" i="2"/>
  <c r="H41" i="2"/>
  <c r="AT41" i="2" s="1"/>
  <c r="Q237" i="2"/>
  <c r="U393" i="2"/>
  <c r="Q290" i="2"/>
  <c r="H443" i="2"/>
  <c r="AT443" i="2" s="1"/>
  <c r="W189" i="2"/>
  <c r="X339" i="2"/>
  <c r="X463" i="2"/>
  <c r="W441" i="2"/>
  <c r="H168" i="2"/>
  <c r="AT168" i="2" s="1"/>
  <c r="P162" i="2"/>
  <c r="N218" i="2"/>
  <c r="V193" i="2"/>
  <c r="J193" i="2"/>
  <c r="W464" i="2"/>
  <c r="J268" i="2"/>
  <c r="O367" i="2"/>
  <c r="Q191" i="2"/>
  <c r="P294" i="2"/>
  <c r="H219" i="2"/>
  <c r="AT219" i="2" s="1"/>
  <c r="V93" i="2"/>
  <c r="X62" i="2"/>
  <c r="U213" i="2"/>
  <c r="X312" i="2"/>
  <c r="Q492" i="2"/>
  <c r="G441" i="2"/>
  <c r="W468" i="2"/>
  <c r="I369" i="2"/>
  <c r="BC369" i="2" s="1"/>
  <c r="O139" i="2"/>
  <c r="P191" i="2"/>
  <c r="P37" i="2"/>
  <c r="V344" i="2"/>
  <c r="X369" i="2"/>
  <c r="I115" i="2"/>
  <c r="BC115" i="2" s="1"/>
  <c r="V463" i="2"/>
  <c r="X214" i="2"/>
  <c r="O168" i="2"/>
  <c r="N117" i="2"/>
  <c r="H266" i="2"/>
  <c r="AT266" i="2" s="1"/>
  <c r="O487" i="2"/>
  <c r="O140" i="2"/>
  <c r="J294" i="2"/>
  <c r="N444" i="2"/>
  <c r="U240" i="2"/>
  <c r="I91" i="2"/>
  <c r="X393" i="2"/>
  <c r="X417" i="2"/>
  <c r="W37" i="2"/>
  <c r="Q289" i="2"/>
  <c r="O489" i="2"/>
  <c r="P138" i="2"/>
  <c r="H92" i="2"/>
  <c r="AT92" i="2" s="1"/>
  <c r="V488" i="2"/>
  <c r="Q141" i="2"/>
  <c r="P268" i="2"/>
  <c r="H68" i="2"/>
  <c r="AT68" i="2" s="1"/>
  <c r="O164" i="2"/>
  <c r="V293" i="2"/>
  <c r="P369" i="2"/>
  <c r="J342" i="2"/>
  <c r="V137" i="2"/>
  <c r="U139" i="2"/>
  <c r="G440" i="2"/>
  <c r="X415" i="2"/>
  <c r="P263" i="2"/>
  <c r="W315" i="2"/>
  <c r="V214" i="2"/>
  <c r="U341" i="2"/>
  <c r="Q418" i="2"/>
  <c r="Q117" i="2"/>
  <c r="U87" i="2"/>
  <c r="V440" i="2"/>
  <c r="Q488" i="2"/>
  <c r="P137" i="2"/>
  <c r="N465" i="2"/>
  <c r="O194" i="2"/>
  <c r="X166" i="2"/>
  <c r="I42" i="2"/>
  <c r="BC42" i="2" s="1"/>
  <c r="W141" i="2"/>
  <c r="Q392" i="2"/>
  <c r="W388" i="2"/>
  <c r="U415" i="2"/>
  <c r="P94" i="2"/>
  <c r="J218" i="2"/>
  <c r="U215" i="2"/>
  <c r="U216" i="2"/>
  <c r="G92" i="2"/>
  <c r="J94" i="2"/>
  <c r="V466" i="2"/>
  <c r="X390" i="2"/>
  <c r="P239" i="2"/>
  <c r="X313" i="2"/>
  <c r="P87" i="2"/>
  <c r="V244" i="2"/>
  <c r="X43" i="2"/>
  <c r="W314" i="2"/>
  <c r="H419" i="2"/>
  <c r="AT419" i="2" s="1"/>
  <c r="O90" i="2"/>
  <c r="Q187" i="2"/>
  <c r="Q65" i="2"/>
  <c r="N101" i="7"/>
  <c r="U142" i="2"/>
  <c r="V468" i="2"/>
  <c r="X193" i="2"/>
  <c r="X63" i="2"/>
  <c r="W41" i="2"/>
  <c r="X288" i="2"/>
  <c r="N439" i="2"/>
  <c r="Q93" i="2"/>
  <c r="X216" i="2"/>
  <c r="N419" i="2"/>
  <c r="X40" i="2"/>
  <c r="Q394" i="2"/>
  <c r="U66" i="2"/>
  <c r="I218" i="2"/>
  <c r="BC218" i="2" s="1"/>
  <c r="X363" i="2"/>
  <c r="U312" i="2"/>
  <c r="F212" i="7"/>
  <c r="V168" i="2"/>
  <c r="H265" i="2"/>
  <c r="AT265" i="2" s="1"/>
  <c r="G437" i="2"/>
  <c r="V62" i="2"/>
  <c r="N266" i="2"/>
  <c r="Q43" i="2"/>
  <c r="Q115" i="2"/>
  <c r="V189" i="2"/>
  <c r="X39" i="2"/>
  <c r="W68" i="2"/>
  <c r="X392" i="2"/>
  <c r="X289" i="2"/>
  <c r="X89" i="2"/>
  <c r="H241" i="2"/>
  <c r="AT241" i="2" s="1"/>
  <c r="G218" i="2"/>
  <c r="N463" i="2"/>
  <c r="Q163" i="2"/>
  <c r="Q87" i="2"/>
  <c r="I92" i="2"/>
  <c r="BC92" i="2" s="1"/>
  <c r="F101" i="7"/>
  <c r="N42" i="2"/>
  <c r="U343" i="2"/>
  <c r="W343" i="2"/>
  <c r="G166" i="2"/>
  <c r="J118" i="2"/>
  <c r="O392" i="2"/>
  <c r="P39" i="2"/>
  <c r="W166" i="2"/>
  <c r="Q444" i="2"/>
  <c r="X143" i="2"/>
  <c r="W415" i="2"/>
  <c r="H344" i="2"/>
  <c r="AT344" i="2" s="1"/>
  <c r="Q468" i="2"/>
  <c r="O213" i="2"/>
  <c r="V243" i="2"/>
  <c r="W239" i="2"/>
  <c r="Q314" i="2"/>
  <c r="O494" i="2"/>
  <c r="I268" i="2"/>
  <c r="BC268" i="2" s="1"/>
  <c r="P93" i="2"/>
  <c r="O467" i="2"/>
  <c r="U268" i="2"/>
  <c r="I69" i="2"/>
  <c r="BC69" i="2" s="1"/>
  <c r="I266" i="2"/>
  <c r="BC266" i="2" s="1"/>
  <c r="I443" i="2"/>
  <c r="BC443" i="2" s="1"/>
  <c r="J194" i="2"/>
  <c r="Q291" i="2"/>
  <c r="P390" i="2"/>
  <c r="P114" i="2"/>
  <c r="W217" i="2"/>
  <c r="O118" i="2"/>
  <c r="V343" i="2"/>
  <c r="O413" i="2"/>
  <c r="U389" i="2"/>
  <c r="O465" i="2"/>
  <c r="Q469" i="2"/>
  <c r="U318" i="2"/>
  <c r="V164" i="2"/>
  <c r="O38" i="2"/>
  <c r="U188" i="2"/>
  <c r="U390" i="2"/>
  <c r="X263" i="2"/>
  <c r="X269" i="2"/>
  <c r="V144" i="2"/>
  <c r="Q312" i="2"/>
  <c r="G267" i="2"/>
  <c r="V265" i="2"/>
  <c r="N216" i="2"/>
  <c r="P415" i="2"/>
  <c r="W391" i="2"/>
  <c r="P465" i="2"/>
  <c r="P487" i="2"/>
  <c r="G393" i="2"/>
  <c r="W267" i="2"/>
  <c r="Q119" i="2"/>
  <c r="O263" i="2"/>
  <c r="Q114" i="2"/>
  <c r="V63" i="2"/>
  <c r="X338" i="2"/>
  <c r="O65" i="2"/>
  <c r="V262" i="2"/>
  <c r="W162" i="2"/>
  <c r="W112" i="2"/>
  <c r="Q440" i="2"/>
  <c r="N389" i="2"/>
  <c r="U417" i="2"/>
  <c r="W419" i="2"/>
  <c r="O318" i="2"/>
  <c r="P265" i="2"/>
  <c r="I116" i="2"/>
  <c r="BC116" i="2" s="1"/>
  <c r="W418" i="2"/>
  <c r="V416" i="2"/>
  <c r="U491" i="2"/>
  <c r="W139" i="2"/>
  <c r="X192" i="2"/>
  <c r="O417" i="2"/>
  <c r="U166" i="2"/>
  <c r="I319" i="2"/>
  <c r="BC319" i="2" s="1"/>
  <c r="J91" i="2"/>
  <c r="Q341" i="2"/>
  <c r="O291" i="2"/>
  <c r="X443" i="2"/>
  <c r="V143" i="2"/>
  <c r="O241" i="2"/>
  <c r="I219" i="2"/>
  <c r="BC219" i="2" s="1"/>
  <c r="V390" i="2"/>
  <c r="N118" i="2"/>
  <c r="X265" i="2"/>
  <c r="U388" i="2"/>
  <c r="I437" i="2"/>
  <c r="W293" i="2"/>
  <c r="N102" i="7"/>
  <c r="P413" i="2"/>
  <c r="U92" i="2"/>
  <c r="O288" i="2"/>
  <c r="X469" i="2"/>
  <c r="N237" i="2"/>
  <c r="Q38" i="2"/>
  <c r="W262" i="2"/>
  <c r="V413" i="2"/>
  <c r="O193" i="2"/>
  <c r="V69" i="2"/>
  <c r="W191" i="2"/>
  <c r="X44" i="2"/>
  <c r="H217" i="2"/>
  <c r="AT217" i="2" s="1"/>
  <c r="X67" i="2"/>
  <c r="V387" i="2"/>
  <c r="U64" i="2"/>
  <c r="N462" i="2"/>
  <c r="X342" i="2"/>
  <c r="O469" i="2"/>
  <c r="N37" i="2"/>
  <c r="I166" i="2"/>
  <c r="BC166" i="2" s="1"/>
  <c r="X294" i="2"/>
  <c r="V40" i="2"/>
  <c r="U187" i="2"/>
  <c r="P463" i="2"/>
  <c r="N269" i="2"/>
  <c r="N68" i="2"/>
  <c r="U317" i="2"/>
  <c r="N263" i="2"/>
  <c r="O466" i="2"/>
  <c r="W292" i="2"/>
  <c r="N212" i="2"/>
  <c r="P341" i="2"/>
  <c r="W466" i="2"/>
  <c r="N103" i="7"/>
  <c r="O63" i="2"/>
  <c r="W219" i="2"/>
  <c r="V492" i="2"/>
  <c r="W118" i="2"/>
  <c r="N415" i="2"/>
  <c r="X141" i="2"/>
  <c r="U391" i="2"/>
  <c r="X188" i="2"/>
  <c r="V237" i="2"/>
  <c r="O488" i="2"/>
  <c r="N39" i="2"/>
  <c r="U291" i="2"/>
  <c r="O242" i="2"/>
  <c r="Q193" i="2"/>
  <c r="P165" i="2"/>
  <c r="P69" i="2"/>
  <c r="Q389" i="2"/>
  <c r="V187" i="2"/>
  <c r="N168" i="2"/>
  <c r="O163" i="2"/>
  <c r="Q369" i="2"/>
  <c r="I241" i="2"/>
  <c r="BC241" i="2" s="1"/>
  <c r="U440" i="2"/>
  <c r="V268" i="2"/>
  <c r="W465" i="2"/>
  <c r="Q489" i="2"/>
  <c r="Q491" i="2"/>
  <c r="O166" i="2"/>
  <c r="V115" i="2"/>
  <c r="X468" i="2"/>
  <c r="U116" i="2"/>
  <c r="O363" i="2"/>
  <c r="O113" i="2"/>
  <c r="O289" i="2"/>
  <c r="Q69" i="2"/>
  <c r="J192" i="2"/>
  <c r="P464" i="2"/>
  <c r="I343" i="2"/>
  <c r="BC343" i="2" s="1"/>
  <c r="X467" i="2"/>
  <c r="X368" i="2"/>
  <c r="Q68" i="2"/>
  <c r="N362" i="2"/>
  <c r="J40" i="2"/>
  <c r="V66" i="2"/>
  <c r="N142" i="2"/>
  <c r="Q490" i="2"/>
  <c r="P215" i="2"/>
  <c r="O212" i="2"/>
  <c r="I114" i="2"/>
  <c r="BC114" i="2" s="1"/>
  <c r="I293" i="2"/>
  <c r="BC293" i="2" s="1"/>
  <c r="U237" i="2"/>
  <c r="N244" i="2"/>
  <c r="G443" i="2"/>
  <c r="O391" i="2"/>
  <c r="X65" i="2"/>
  <c r="V116" i="2"/>
  <c r="W114" i="2"/>
  <c r="W117" i="2"/>
  <c r="I119" i="2"/>
  <c r="BC119" i="2" s="1"/>
  <c r="Q391" i="2"/>
  <c r="W294" i="2"/>
  <c r="U65" i="2"/>
  <c r="O169" i="2"/>
  <c r="H169" i="2"/>
  <c r="AT169" i="2" s="1"/>
  <c r="I94" i="2"/>
  <c r="BC94" i="2" s="1"/>
  <c r="O393" i="2"/>
  <c r="P387" i="2"/>
  <c r="X94" i="2"/>
  <c r="P65" i="2"/>
  <c r="U144" i="2"/>
  <c r="X442" i="2"/>
  <c r="N115" i="2"/>
  <c r="U463" i="2"/>
  <c r="X266" i="2"/>
  <c r="W165" i="2"/>
  <c r="H368" i="2"/>
  <c r="AT368" i="2" s="1"/>
  <c r="X344" i="2"/>
  <c r="X167" i="2"/>
  <c r="P68" i="2"/>
  <c r="G369" i="2"/>
  <c r="U465" i="2"/>
  <c r="W69" i="2"/>
  <c r="N289" i="2"/>
  <c r="O244" i="2"/>
  <c r="Q414" i="2"/>
  <c r="O444" i="2"/>
  <c r="Q413" i="2"/>
  <c r="H242" i="2"/>
  <c r="AT242" i="2" s="1"/>
  <c r="N212" i="7"/>
  <c r="N167" i="2"/>
  <c r="P237" i="2"/>
  <c r="G138" i="2"/>
  <c r="H369" i="2"/>
  <c r="AT369" i="2" s="1"/>
  <c r="J438" i="2"/>
  <c r="O115" i="2"/>
  <c r="V365" i="2"/>
  <c r="W212" i="2"/>
  <c r="U68" i="2"/>
  <c r="G67" i="2"/>
  <c r="O117" i="2"/>
  <c r="Q494" i="2"/>
  <c r="V313" i="2"/>
  <c r="N169" i="2"/>
  <c r="V91" i="2"/>
  <c r="W340" i="2"/>
  <c r="W389" i="2"/>
  <c r="X91" i="2"/>
  <c r="N388" i="2"/>
  <c r="W288" i="2"/>
  <c r="U162" i="2"/>
  <c r="U219" i="2"/>
  <c r="P113" i="2"/>
  <c r="G444" i="2"/>
  <c r="V489" i="2"/>
  <c r="U91" i="2"/>
  <c r="P42" i="2"/>
  <c r="P264" i="2"/>
  <c r="H192" i="2"/>
  <c r="AT192" i="2" s="1"/>
  <c r="N343" i="2"/>
  <c r="V266" i="2"/>
  <c r="N240" i="2"/>
  <c r="V340" i="2"/>
  <c r="O218" i="2"/>
  <c r="X168" i="2"/>
  <c r="X142" i="2"/>
  <c r="V414" i="2"/>
  <c r="V465" i="2"/>
  <c r="Q362" i="2"/>
  <c r="V94" i="2"/>
  <c r="N62" i="2"/>
  <c r="J319" i="2"/>
  <c r="U119" i="2"/>
  <c r="P362" i="2"/>
  <c r="Q241" i="2"/>
  <c r="P319" i="2"/>
  <c r="W240" i="2"/>
  <c r="V192" i="2"/>
  <c r="U419" i="2"/>
  <c r="X494" i="2"/>
  <c r="N188" i="2"/>
  <c r="V39" i="2"/>
  <c r="X341" i="2"/>
  <c r="V342" i="2"/>
  <c r="U292" i="2"/>
  <c r="H244" i="2"/>
  <c r="AT244" i="2" s="1"/>
  <c r="H114" i="2"/>
  <c r="U165" i="2"/>
  <c r="Q67" i="2"/>
  <c r="N113" i="2"/>
  <c r="U315" i="2"/>
  <c r="X237" i="2"/>
  <c r="G213" i="7"/>
  <c r="N312" i="2"/>
  <c r="G418" i="2"/>
  <c r="N242" i="2"/>
  <c r="N262" i="2"/>
  <c r="J344" i="2"/>
  <c r="X492" i="2"/>
  <c r="V240" i="2"/>
  <c r="Q294" i="2"/>
  <c r="G142" i="2"/>
  <c r="I243" i="2"/>
  <c r="BC243" i="2" s="1"/>
  <c r="Q140" i="2"/>
  <c r="I165" i="2"/>
  <c r="BC165" i="2" s="1"/>
  <c r="Q142" i="2"/>
  <c r="P313" i="2"/>
  <c r="G417" i="2"/>
  <c r="H342" i="2"/>
  <c r="AT342" i="2" s="1"/>
  <c r="W491" i="2"/>
  <c r="X419" i="2"/>
  <c r="U316" i="2"/>
  <c r="P442" i="2"/>
  <c r="U43" i="2"/>
  <c r="W368" i="2"/>
  <c r="N414" i="2"/>
  <c r="W442" i="2"/>
  <c r="X412" i="2"/>
  <c r="X444" i="2"/>
  <c r="U269" i="2"/>
  <c r="V269" i="2"/>
  <c r="W338" i="2"/>
  <c r="V444" i="2"/>
  <c r="V87" i="2"/>
  <c r="N466" i="2"/>
  <c r="Q66" i="2"/>
  <c r="V242" i="2"/>
  <c r="U369" i="2"/>
  <c r="X190" i="2"/>
  <c r="N213" i="7"/>
  <c r="N315" i="2"/>
  <c r="W313" i="2"/>
  <c r="N38" i="2"/>
  <c r="Q266" i="2"/>
  <c r="U289" i="2"/>
  <c r="N137" i="2"/>
  <c r="V337" i="2"/>
  <c r="V315" i="2"/>
  <c r="H166" i="2"/>
  <c r="AT166" i="2" s="1"/>
  <c r="Q292" i="2"/>
  <c r="W62" i="2"/>
  <c r="O167" i="2"/>
  <c r="V140" i="2"/>
  <c r="V141" i="2"/>
  <c r="O119" i="2"/>
  <c r="N87" i="2"/>
  <c r="X240" i="2"/>
  <c r="N443" i="2"/>
  <c r="W169" i="2"/>
  <c r="J244" i="2"/>
  <c r="N468" i="2"/>
  <c r="O394" i="2"/>
  <c r="U112" i="2"/>
  <c r="V394" i="2"/>
  <c r="Q344" i="2"/>
  <c r="P491" i="2"/>
  <c r="N63" i="2"/>
  <c r="W392" i="2"/>
  <c r="V338" i="2"/>
  <c r="Q167" i="2"/>
  <c r="P41" i="2"/>
  <c r="G392" i="2"/>
  <c r="P441" i="2"/>
  <c r="H43" i="2"/>
  <c r="AT43" i="2" s="1"/>
  <c r="V90" i="2"/>
  <c r="J165" i="2"/>
  <c r="U42" i="2"/>
  <c r="J266" i="2"/>
  <c r="V165" i="2"/>
  <c r="P90" i="2"/>
  <c r="N417" i="2"/>
  <c r="P243" i="2"/>
  <c r="Q213" i="2"/>
  <c r="X465" i="2"/>
  <c r="Q467" i="2"/>
  <c r="U489" i="2"/>
  <c r="H418" i="2"/>
  <c r="AT418" i="2" s="1"/>
  <c r="G43" i="2"/>
  <c r="N65" i="2"/>
  <c r="I438" i="2"/>
  <c r="Q343" i="2"/>
  <c r="J318" i="2"/>
  <c r="O440" i="2"/>
  <c r="U193" i="2"/>
  <c r="O443" i="2"/>
  <c r="G101" i="7"/>
  <c r="U41" i="2"/>
  <c r="N90" i="2"/>
  <c r="G40" i="2"/>
  <c r="W268" i="2"/>
  <c r="O116" i="2"/>
  <c r="G193" i="2"/>
  <c r="N191" i="2"/>
  <c r="W319" i="2"/>
  <c r="V263" i="2"/>
  <c r="Q390" i="2"/>
  <c r="O266" i="2"/>
  <c r="O91" i="2"/>
  <c r="V169" i="2"/>
  <c r="N442" i="2"/>
  <c r="U387" i="2"/>
  <c r="Q268" i="2"/>
  <c r="U262" i="2"/>
  <c r="F213" i="7"/>
  <c r="L213" i="7" s="1"/>
  <c r="V491" i="2"/>
  <c r="G167" i="2"/>
  <c r="O62" i="2"/>
  <c r="P290" i="2"/>
  <c r="O89" i="2"/>
  <c r="N112" i="2"/>
  <c r="Q192" i="2"/>
  <c r="P266" i="2"/>
  <c r="J443" i="2"/>
  <c r="Q40" i="2"/>
  <c r="J241" i="2"/>
  <c r="U394" i="2"/>
  <c r="N164" i="2"/>
  <c r="J343" i="2"/>
  <c r="U137" i="2"/>
  <c r="W94" i="2"/>
  <c r="X138" i="2"/>
  <c r="I244" i="2"/>
  <c r="BC244" i="2" s="1"/>
  <c r="Q39" i="2"/>
  <c r="O343" i="2"/>
  <c r="L100" i="7" l="1"/>
  <c r="AT114" i="2"/>
  <c r="AV114" i="2" s="1"/>
  <c r="AZ114" i="2" s="1"/>
  <c r="L212" i="7"/>
  <c r="BC437" i="2"/>
  <c r="BE437" i="2" s="1"/>
  <c r="BI437" i="2" s="1"/>
  <c r="AT438" i="2"/>
  <c r="AX438" i="2" s="1"/>
  <c r="BC438" i="2"/>
  <c r="BE438" i="2" s="1"/>
  <c r="BI438" i="2" s="1"/>
  <c r="AT437" i="2"/>
  <c r="AV437" i="2" s="1"/>
  <c r="AZ437" i="2" s="1"/>
  <c r="L260" i="7"/>
  <c r="L271" i="7" s="1"/>
  <c r="O60" i="7" s="1"/>
  <c r="AM60" i="7" s="1"/>
  <c r="M212" i="7"/>
  <c r="M101" i="7"/>
  <c r="M111" i="7" s="1"/>
  <c r="P51" i="7" s="1"/>
  <c r="T51" i="7" s="1"/>
  <c r="AO51" i="7" s="1"/>
  <c r="L101" i="7"/>
  <c r="L111" i="7" s="1"/>
  <c r="O51" i="7" s="1"/>
  <c r="M213" i="7"/>
  <c r="BC138" i="2"/>
  <c r="BE138" i="2" s="1"/>
  <c r="BI138" i="2" s="1"/>
  <c r="BC38" i="2"/>
  <c r="BG38" i="2" s="1"/>
  <c r="L223" i="7"/>
  <c r="M233" i="7"/>
  <c r="M239" i="7" s="1"/>
  <c r="P58" i="7" s="1"/>
  <c r="T58" i="7" s="1"/>
  <c r="AO58" i="7" s="1"/>
  <c r="M249" i="7"/>
  <c r="M255" i="7" s="1"/>
  <c r="P59" i="7" s="1"/>
  <c r="T59" i="7" s="1"/>
  <c r="AO59" i="7" s="1"/>
  <c r="BD244" i="2"/>
  <c r="BH244" i="2" s="1"/>
  <c r="BE244" i="2"/>
  <c r="BI244" i="2" s="1"/>
  <c r="BG244" i="2"/>
  <c r="AE167" i="2"/>
  <c r="AG167" i="2" s="1"/>
  <c r="AI167" i="2"/>
  <c r="AP167" i="2" s="1"/>
  <c r="AE43" i="2"/>
  <c r="AF43" i="2" s="1"/>
  <c r="AI43" i="2"/>
  <c r="AP43" i="2" s="1"/>
  <c r="AE193" i="2"/>
  <c r="AG193" i="2" s="1"/>
  <c r="AI193" i="2"/>
  <c r="AP193" i="2" s="1"/>
  <c r="AX43" i="2"/>
  <c r="AU43" i="2"/>
  <c r="AY43" i="2" s="1"/>
  <c r="AV43" i="2"/>
  <c r="AZ43" i="2" s="1"/>
  <c r="AK137" i="2"/>
  <c r="AG137" i="2"/>
  <c r="AK262" i="2"/>
  <c r="AG262" i="2"/>
  <c r="AF65" i="2"/>
  <c r="AJ65" i="2"/>
  <c r="AF468" i="2"/>
  <c r="AJ468" i="2"/>
  <c r="AU166" i="2"/>
  <c r="AY166" i="2" s="1"/>
  <c r="AV166" i="2"/>
  <c r="AZ166" i="2" s="1"/>
  <c r="AX166" i="2"/>
  <c r="AG289" i="2"/>
  <c r="AK289" i="2"/>
  <c r="AF315" i="2"/>
  <c r="AJ315" i="2"/>
  <c r="BD243" i="2"/>
  <c r="BH243" i="2" s="1"/>
  <c r="BE243" i="2"/>
  <c r="BI243" i="2" s="1"/>
  <c r="BG243" i="2"/>
  <c r="AE418" i="2"/>
  <c r="AF418" i="2" s="1"/>
  <c r="AI418" i="2"/>
  <c r="AP418" i="2" s="1"/>
  <c r="AG315" i="2"/>
  <c r="AK315" i="2"/>
  <c r="AX114" i="2"/>
  <c r="AJ62" i="2"/>
  <c r="AF62" i="2"/>
  <c r="AV192" i="2"/>
  <c r="AZ192" i="2" s="1"/>
  <c r="AU192" i="2"/>
  <c r="AY192" i="2" s="1"/>
  <c r="AX192" i="2"/>
  <c r="AG162" i="2"/>
  <c r="AK162" i="2"/>
  <c r="AG65" i="2"/>
  <c r="AK65" i="2"/>
  <c r="BE293" i="2"/>
  <c r="BI293" i="2" s="1"/>
  <c r="BD293" i="2"/>
  <c r="BH293" i="2" s="1"/>
  <c r="BG293" i="2"/>
  <c r="AF362" i="2"/>
  <c r="AJ362" i="2"/>
  <c r="BE343" i="2"/>
  <c r="BI343" i="2" s="1"/>
  <c r="BG343" i="2"/>
  <c r="BD343" i="2"/>
  <c r="BH343" i="2" s="1"/>
  <c r="BE241" i="2"/>
  <c r="BI241" i="2" s="1"/>
  <c r="BG241" i="2"/>
  <c r="BD241" i="2"/>
  <c r="BH241" i="2" s="1"/>
  <c r="AF263" i="2"/>
  <c r="AJ263" i="2"/>
  <c r="BG166" i="2"/>
  <c r="BE166" i="2"/>
  <c r="BI166" i="2" s="1"/>
  <c r="BD166" i="2"/>
  <c r="BH166" i="2" s="1"/>
  <c r="AF462" i="2"/>
  <c r="AJ462" i="2"/>
  <c r="AV217" i="2"/>
  <c r="AZ217" i="2" s="1"/>
  <c r="AX217" i="2"/>
  <c r="AU217" i="2"/>
  <c r="AY217" i="2" s="1"/>
  <c r="AF237" i="2"/>
  <c r="AJ237" i="2"/>
  <c r="AG388" i="2"/>
  <c r="AK388" i="2"/>
  <c r="BG219" i="2"/>
  <c r="BD219" i="2"/>
  <c r="BH219" i="2" s="1"/>
  <c r="BE219" i="2"/>
  <c r="BI219" i="2" s="1"/>
  <c r="AG491" i="2"/>
  <c r="AK491" i="2"/>
  <c r="AF389" i="2"/>
  <c r="AJ389" i="2"/>
  <c r="AE393" i="2"/>
  <c r="AF393" i="2" s="1"/>
  <c r="AI393" i="2"/>
  <c r="AP393" i="2" s="1"/>
  <c r="AG390" i="2"/>
  <c r="AK390" i="2"/>
  <c r="BG443" i="2"/>
  <c r="BE443" i="2"/>
  <c r="BI443" i="2" s="1"/>
  <c r="BD443" i="2"/>
  <c r="BH443" i="2" s="1"/>
  <c r="BE218" i="2"/>
  <c r="BI218" i="2" s="1"/>
  <c r="BG218" i="2"/>
  <c r="BD218" i="2"/>
  <c r="BH218" i="2" s="1"/>
  <c r="AI92" i="2"/>
  <c r="AP92" i="2" s="1"/>
  <c r="AE92" i="2"/>
  <c r="AF92" i="2" s="1"/>
  <c r="AF465" i="2"/>
  <c r="AJ465" i="2"/>
  <c r="AK87" i="2"/>
  <c r="AG87" i="2"/>
  <c r="AI440" i="2"/>
  <c r="AP440" i="2" s="1"/>
  <c r="AE440" i="2"/>
  <c r="AF440" i="2" s="1"/>
  <c r="AV266" i="2"/>
  <c r="AZ266" i="2" s="1"/>
  <c r="AX266" i="2"/>
  <c r="AU266" i="2"/>
  <c r="AY266" i="2" s="1"/>
  <c r="AG213" i="2"/>
  <c r="AK213" i="2"/>
  <c r="AI241" i="2"/>
  <c r="AP241" i="2" s="1"/>
  <c r="AE241" i="2"/>
  <c r="AF241" i="2" s="1"/>
  <c r="BG441" i="2"/>
  <c r="BE441" i="2"/>
  <c r="BI441" i="2" s="1"/>
  <c r="BD441" i="2"/>
  <c r="BH441" i="2" s="1"/>
  <c r="AF162" i="2"/>
  <c r="AJ162" i="2"/>
  <c r="AG313" i="2"/>
  <c r="AK313" i="2"/>
  <c r="AF492" i="2"/>
  <c r="AJ492" i="2"/>
  <c r="AK338" i="2"/>
  <c r="AG338" i="2"/>
  <c r="BG294" i="2"/>
  <c r="BD294" i="2"/>
  <c r="BH294" i="2" s="1"/>
  <c r="BE294" i="2"/>
  <c r="BI294" i="2" s="1"/>
  <c r="AG494" i="2"/>
  <c r="AK494" i="2"/>
  <c r="AG39" i="2"/>
  <c r="AK39" i="2"/>
  <c r="BG440" i="2"/>
  <c r="BD440" i="2"/>
  <c r="BH440" i="2" s="1"/>
  <c r="BE440" i="2"/>
  <c r="BI440" i="2" s="1"/>
  <c r="AE442" i="2"/>
  <c r="AF442" i="2" s="1"/>
  <c r="AI442" i="2"/>
  <c r="AP442" i="2" s="1"/>
  <c r="AI118" i="2"/>
  <c r="AP118" i="2" s="1"/>
  <c r="AE118" i="2"/>
  <c r="AF118" i="2" s="1"/>
  <c r="AI343" i="2"/>
  <c r="AP343" i="2" s="1"/>
  <c r="AE343" i="2"/>
  <c r="AF343" i="2" s="1"/>
  <c r="AX94" i="2"/>
  <c r="AV94" i="2"/>
  <c r="AZ94" i="2" s="1"/>
  <c r="AU94" i="2"/>
  <c r="AY94" i="2" s="1"/>
  <c r="AJ338" i="2"/>
  <c r="AF338" i="2"/>
  <c r="AF314" i="2"/>
  <c r="AJ314" i="2"/>
  <c r="AE116" i="2"/>
  <c r="AG116" i="2" s="1"/>
  <c r="AI116" i="2"/>
  <c r="AP116" i="2" s="1"/>
  <c r="AG163" i="2"/>
  <c r="AK163" i="2"/>
  <c r="AI243" i="2"/>
  <c r="AP243" i="2" s="1"/>
  <c r="AE243" i="2"/>
  <c r="AG243" i="2" s="1"/>
  <c r="AF363" i="2"/>
  <c r="AJ363" i="2"/>
  <c r="AE119" i="2"/>
  <c r="AF119" i="2" s="1"/>
  <c r="AI119" i="2"/>
  <c r="AP119" i="2" s="1"/>
  <c r="AI68" i="2"/>
  <c r="AP68" i="2" s="1"/>
  <c r="AE68" i="2"/>
  <c r="AF68" i="2" s="1"/>
  <c r="BE444" i="2"/>
  <c r="BI444" i="2" s="1"/>
  <c r="BG444" i="2"/>
  <c r="BD444" i="2"/>
  <c r="BH444" i="2" s="1"/>
  <c r="AK364" i="2"/>
  <c r="AP364" i="2" s="1"/>
  <c r="AG364" i="2"/>
  <c r="AK189" i="2"/>
  <c r="AG189" i="2"/>
  <c r="AG339" i="2"/>
  <c r="AK339" i="2"/>
  <c r="AP339" i="2" s="1"/>
  <c r="AG492" i="2"/>
  <c r="AK492" i="2"/>
  <c r="AI194" i="2"/>
  <c r="AP194" i="2" s="1"/>
  <c r="AE194" i="2"/>
  <c r="AG194" i="2" s="1"/>
  <c r="AG214" i="2"/>
  <c r="AK214" i="2"/>
  <c r="AP214" i="2" s="1"/>
  <c r="AG212" i="2"/>
  <c r="AK212" i="2"/>
  <c r="AF491" i="2"/>
  <c r="AJ491" i="2"/>
  <c r="AJ189" i="2"/>
  <c r="AF189" i="2"/>
  <c r="AG37" i="2"/>
  <c r="AK37" i="2"/>
  <c r="AK89" i="2"/>
  <c r="AG89" i="2"/>
  <c r="AJ239" i="2"/>
  <c r="AF239" i="2"/>
  <c r="AV38" i="2"/>
  <c r="AZ38" i="2" s="1"/>
  <c r="AU38" i="2"/>
  <c r="AY38" i="2" s="1"/>
  <c r="AX38" i="2"/>
  <c r="BE93" i="2"/>
  <c r="BI93" i="2" s="1"/>
  <c r="BG93" i="2"/>
  <c r="BD93" i="2"/>
  <c r="BH93" i="2" s="1"/>
  <c r="AG413" i="2"/>
  <c r="AK413" i="2"/>
  <c r="AU118" i="2"/>
  <c r="AY118" i="2" s="1"/>
  <c r="AV118" i="2"/>
  <c r="AZ118" i="2" s="1"/>
  <c r="AX118" i="2"/>
  <c r="AE143" i="2"/>
  <c r="AF143" i="2" s="1"/>
  <c r="AI143" i="2"/>
  <c r="AP143" i="2" s="1"/>
  <c r="AV119" i="2"/>
  <c r="AZ119" i="2" s="1"/>
  <c r="AU119" i="2"/>
  <c r="AY119" i="2" s="1"/>
  <c r="AX119" i="2"/>
  <c r="AE38" i="2"/>
  <c r="AI38" i="2"/>
  <c r="AJ38" i="2" s="1"/>
  <c r="AG63" i="2"/>
  <c r="AK63" i="2"/>
  <c r="AE242" i="2"/>
  <c r="AG242" i="2" s="1"/>
  <c r="AI242" i="2"/>
  <c r="AP242" i="2" s="1"/>
  <c r="AX293" i="2"/>
  <c r="AV293" i="2"/>
  <c r="AZ293" i="2" s="1"/>
  <c r="AU293" i="2"/>
  <c r="AY293" i="2" s="1"/>
  <c r="AJ489" i="2"/>
  <c r="AF489" i="2"/>
  <c r="AF416" i="2"/>
  <c r="AJ416" i="2"/>
  <c r="BE118" i="2"/>
  <c r="BI118" i="2" s="1"/>
  <c r="BG118" i="2"/>
  <c r="BD118" i="2"/>
  <c r="BH118" i="2" s="1"/>
  <c r="AV194" i="2"/>
  <c r="AZ194" i="2" s="1"/>
  <c r="AX194" i="2"/>
  <c r="AU194" i="2"/>
  <c r="AY194" i="2" s="1"/>
  <c r="AG191" i="2"/>
  <c r="AK191" i="2"/>
  <c r="AU67" i="2"/>
  <c r="AY67" i="2" s="1"/>
  <c r="AX67" i="2"/>
  <c r="AV67" i="2"/>
  <c r="AZ67" i="2" s="1"/>
  <c r="AU117" i="2"/>
  <c r="AY117" i="2" s="1"/>
  <c r="AX117" i="2"/>
  <c r="AV117" i="2"/>
  <c r="AZ117" i="2" s="1"/>
  <c r="AX394" i="2"/>
  <c r="AV394" i="2"/>
  <c r="AZ394" i="2" s="1"/>
  <c r="AU394" i="2"/>
  <c r="AY394" i="2" s="1"/>
  <c r="AU319" i="2"/>
  <c r="AY319" i="2" s="1"/>
  <c r="AX319" i="2"/>
  <c r="AV319" i="2"/>
  <c r="AZ319" i="2" s="1"/>
  <c r="AF340" i="2"/>
  <c r="AJ340" i="2"/>
  <c r="AU143" i="2"/>
  <c r="AY143" i="2" s="1"/>
  <c r="AV143" i="2"/>
  <c r="AZ143" i="2" s="1"/>
  <c r="AX143" i="2"/>
  <c r="AF87" i="2"/>
  <c r="AJ87" i="2"/>
  <c r="AE142" i="2"/>
  <c r="AF142" i="2" s="1"/>
  <c r="AI142" i="2"/>
  <c r="AP142" i="2" s="1"/>
  <c r="AF312" i="2"/>
  <c r="AJ312" i="2"/>
  <c r="AF113" i="2"/>
  <c r="AJ113" i="2"/>
  <c r="AX244" i="2"/>
  <c r="AV244" i="2"/>
  <c r="AZ244" i="2" s="1"/>
  <c r="AU244" i="2"/>
  <c r="AY244" i="2" s="1"/>
  <c r="AI444" i="2"/>
  <c r="AP444" i="2" s="1"/>
  <c r="AE444" i="2"/>
  <c r="AF444" i="2" s="1"/>
  <c r="AU369" i="2"/>
  <c r="AY369" i="2" s="1"/>
  <c r="AV369" i="2"/>
  <c r="AZ369" i="2" s="1"/>
  <c r="AX369" i="2"/>
  <c r="AG465" i="2"/>
  <c r="AK465" i="2"/>
  <c r="AK463" i="2"/>
  <c r="AG463" i="2"/>
  <c r="BG94" i="2"/>
  <c r="BE94" i="2"/>
  <c r="BI94" i="2" s="1"/>
  <c r="BD94" i="2"/>
  <c r="BH94" i="2" s="1"/>
  <c r="AI443" i="2"/>
  <c r="AP443" i="2" s="1"/>
  <c r="AE443" i="2"/>
  <c r="AF443" i="2" s="1"/>
  <c r="BD114" i="2"/>
  <c r="BH114" i="2" s="1"/>
  <c r="BG114" i="2"/>
  <c r="BE114" i="2"/>
  <c r="BI114" i="2" s="1"/>
  <c r="AF415" i="2"/>
  <c r="AJ415" i="2"/>
  <c r="AJ212" i="2"/>
  <c r="AF212" i="2"/>
  <c r="AK317" i="2"/>
  <c r="AG317" i="2"/>
  <c r="AG187" i="2"/>
  <c r="AK187" i="2"/>
  <c r="AF37" i="2"/>
  <c r="AJ37" i="2"/>
  <c r="AG64" i="2"/>
  <c r="AK64" i="2"/>
  <c r="AF216" i="2"/>
  <c r="AJ216" i="2"/>
  <c r="AK188" i="2"/>
  <c r="AG188" i="2"/>
  <c r="BD266" i="2"/>
  <c r="BH266" i="2" s="1"/>
  <c r="BG266" i="2"/>
  <c r="BE266" i="2"/>
  <c r="BI266" i="2" s="1"/>
  <c r="AX344" i="2"/>
  <c r="AV344" i="2"/>
  <c r="AZ344" i="2" s="1"/>
  <c r="AU344" i="2"/>
  <c r="AY344" i="2" s="1"/>
  <c r="AI166" i="2"/>
  <c r="AP166" i="2" s="1"/>
  <c r="AE166" i="2"/>
  <c r="AG166" i="2" s="1"/>
  <c r="AF463" i="2"/>
  <c r="AJ463" i="2"/>
  <c r="AG66" i="2"/>
  <c r="AK66" i="2"/>
  <c r="AG216" i="2"/>
  <c r="AK216" i="2"/>
  <c r="AG415" i="2"/>
  <c r="AK415" i="2"/>
  <c r="BG42" i="2"/>
  <c r="BD42" i="2"/>
  <c r="BH42" i="2" s="1"/>
  <c r="BE42" i="2"/>
  <c r="BI42" i="2" s="1"/>
  <c r="AG139" i="2"/>
  <c r="AK139" i="2"/>
  <c r="BE115" i="2"/>
  <c r="BI115" i="2" s="1"/>
  <c r="BD115" i="2"/>
  <c r="BH115" i="2" s="1"/>
  <c r="BG115" i="2"/>
  <c r="AI441" i="2"/>
  <c r="AP441" i="2" s="1"/>
  <c r="AE441" i="2"/>
  <c r="AF441" i="2" s="1"/>
  <c r="AX168" i="2"/>
  <c r="AU168" i="2"/>
  <c r="AY168" i="2" s="1"/>
  <c r="AV168" i="2"/>
  <c r="AZ168" i="2" s="1"/>
  <c r="AK239" i="2"/>
  <c r="AG239" i="2"/>
  <c r="AJ341" i="2"/>
  <c r="AF341" i="2"/>
  <c r="AJ317" i="2"/>
  <c r="AF317" i="2"/>
  <c r="AG88" i="2"/>
  <c r="AK88" i="2"/>
  <c r="AG488" i="2"/>
  <c r="AK488" i="2"/>
  <c r="AJ413" i="2"/>
  <c r="AF413" i="2"/>
  <c r="BD194" i="2"/>
  <c r="BH194" i="2" s="1"/>
  <c r="BG194" i="2"/>
  <c r="BE194" i="2"/>
  <c r="BI194" i="2" s="1"/>
  <c r="AF467" i="2"/>
  <c r="AJ467" i="2"/>
  <c r="AJ337" i="2"/>
  <c r="AF337" i="2"/>
  <c r="AK340" i="2"/>
  <c r="AP340" i="2" s="1"/>
  <c r="AG340" i="2"/>
  <c r="BD169" i="2"/>
  <c r="BH169" i="2" s="1"/>
  <c r="BG169" i="2"/>
  <c r="BE169" i="2"/>
  <c r="BI169" i="2" s="1"/>
  <c r="AK263" i="2"/>
  <c r="AG263" i="2"/>
  <c r="AV93" i="2"/>
  <c r="AZ93" i="2" s="1"/>
  <c r="AU93" i="2"/>
  <c r="AY93" i="2" s="1"/>
  <c r="AX93" i="2"/>
  <c r="BE167" i="2"/>
  <c r="BI167" i="2" s="1"/>
  <c r="BD167" i="2"/>
  <c r="BH167" i="2" s="1"/>
  <c r="BG167" i="2"/>
  <c r="AG464" i="2"/>
  <c r="AK464" i="2"/>
  <c r="AK412" i="2"/>
  <c r="AG412" i="2"/>
  <c r="AU367" i="2"/>
  <c r="AY367" i="2" s="1"/>
  <c r="AV367" i="2"/>
  <c r="AZ367" i="2" s="1"/>
  <c r="AX367" i="2"/>
  <c r="AE94" i="2"/>
  <c r="AG94" i="2" s="1"/>
  <c r="AI94" i="2"/>
  <c r="AP94" i="2" s="1"/>
  <c r="BE442" i="2"/>
  <c r="BI442" i="2" s="1"/>
  <c r="BD442" i="2"/>
  <c r="BH442" i="2" s="1"/>
  <c r="BG442" i="2"/>
  <c r="BG344" i="2"/>
  <c r="BD344" i="2"/>
  <c r="BH344" i="2" s="1"/>
  <c r="BE344" i="2"/>
  <c r="BI344" i="2" s="1"/>
  <c r="AF163" i="2"/>
  <c r="AJ163" i="2"/>
  <c r="AU193" i="2"/>
  <c r="AY193" i="2" s="1"/>
  <c r="AV193" i="2"/>
  <c r="AZ193" i="2" s="1"/>
  <c r="AX193" i="2"/>
  <c r="BD217" i="2"/>
  <c r="BH217" i="2" s="1"/>
  <c r="BE217" i="2"/>
  <c r="BI217" i="2" s="1"/>
  <c r="BG217" i="2"/>
  <c r="AE192" i="2"/>
  <c r="AG192" i="2" s="1"/>
  <c r="AI192" i="2"/>
  <c r="AP192" i="2" s="1"/>
  <c r="BG269" i="2"/>
  <c r="BD269" i="2"/>
  <c r="BH269" i="2" s="1"/>
  <c r="BE269" i="2"/>
  <c r="BI269" i="2" s="1"/>
  <c r="AJ387" i="2"/>
  <c r="AF387" i="2"/>
  <c r="AJ66" i="2"/>
  <c r="AF66" i="2"/>
  <c r="AX268" i="2"/>
  <c r="AV268" i="2"/>
  <c r="AZ268" i="2" s="1"/>
  <c r="AU268" i="2"/>
  <c r="AY268" i="2" s="1"/>
  <c r="AU69" i="2"/>
  <c r="AY69" i="2" s="1"/>
  <c r="AV69" i="2"/>
  <c r="AZ69" i="2" s="1"/>
  <c r="AX69" i="2"/>
  <c r="AV243" i="2"/>
  <c r="AZ243" i="2" s="1"/>
  <c r="AX243" i="2"/>
  <c r="AU243" i="2"/>
  <c r="AY243" i="2" s="1"/>
  <c r="AE368" i="2"/>
  <c r="AG368" i="2" s="1"/>
  <c r="AI368" i="2"/>
  <c r="AP368" i="2" s="1"/>
  <c r="AG90" i="2"/>
  <c r="AK90" i="2"/>
  <c r="AG468" i="2"/>
  <c r="AK468" i="2"/>
  <c r="AJ366" i="2"/>
  <c r="AF366" i="2"/>
  <c r="BE394" i="2"/>
  <c r="BI394" i="2" s="1"/>
  <c r="BD394" i="2"/>
  <c r="BH394" i="2" s="1"/>
  <c r="BG394" i="2"/>
  <c r="BE242" i="2"/>
  <c r="BI242" i="2" s="1"/>
  <c r="BD242" i="2"/>
  <c r="BH242" i="2" s="1"/>
  <c r="BG242" i="2"/>
  <c r="AJ464" i="2"/>
  <c r="AF464" i="2"/>
  <c r="AE419" i="2"/>
  <c r="AG419" i="2" s="1"/>
  <c r="AI419" i="2"/>
  <c r="AP419" i="2" s="1"/>
  <c r="AF490" i="2"/>
  <c r="AJ490" i="2"/>
  <c r="BD117" i="2"/>
  <c r="BH117" i="2" s="1"/>
  <c r="BE117" i="2"/>
  <c r="BI117" i="2" s="1"/>
  <c r="BG117" i="2"/>
  <c r="BD419" i="2"/>
  <c r="BH419" i="2" s="1"/>
  <c r="BG419" i="2"/>
  <c r="BE419" i="2"/>
  <c r="BI419" i="2" s="1"/>
  <c r="AG469" i="2"/>
  <c r="AK469" i="2"/>
  <c r="L233" i="7"/>
  <c r="L239" i="7" s="1"/>
  <c r="O58" i="7" s="1"/>
  <c r="L249" i="7"/>
  <c r="AX440" i="2"/>
  <c r="AV440" i="2"/>
  <c r="AZ440" i="2" s="1"/>
  <c r="AU440" i="2"/>
  <c r="AY440" i="2" s="1"/>
  <c r="AE367" i="2"/>
  <c r="AG367" i="2" s="1"/>
  <c r="AI367" i="2"/>
  <c r="AP367" i="2" s="1"/>
  <c r="AI41" i="2"/>
  <c r="AP41" i="2" s="1"/>
  <c r="AE41" i="2"/>
  <c r="AG41" i="2" s="1"/>
  <c r="BG68" i="2"/>
  <c r="BD68" i="2"/>
  <c r="BH68" i="2" s="1"/>
  <c r="BE68" i="2"/>
  <c r="BI68" i="2" s="1"/>
  <c r="AI244" i="2"/>
  <c r="AP244" i="2" s="1"/>
  <c r="AE244" i="2"/>
  <c r="AG244" i="2" s="1"/>
  <c r="AV343" i="2"/>
  <c r="AZ343" i="2" s="1"/>
  <c r="AU343" i="2"/>
  <c r="AY343" i="2" s="1"/>
  <c r="AX343" i="2"/>
  <c r="AF390" i="2"/>
  <c r="AJ390" i="2"/>
  <c r="BE143" i="2"/>
  <c r="BI143" i="2" s="1"/>
  <c r="BG143" i="2"/>
  <c r="BD143" i="2"/>
  <c r="BH143" i="2" s="1"/>
  <c r="AT40" i="2"/>
  <c r="AG314" i="2"/>
  <c r="AK314" i="2"/>
  <c r="AG365" i="2"/>
  <c r="AK365" i="2"/>
  <c r="AX141" i="2"/>
  <c r="AU141" i="2"/>
  <c r="AY141" i="2" s="1"/>
  <c r="AV141" i="2"/>
  <c r="AZ141" i="2" s="1"/>
  <c r="BD193" i="2"/>
  <c r="BH193" i="2" s="1"/>
  <c r="BG193" i="2"/>
  <c r="BE193" i="2"/>
  <c r="BI193" i="2" s="1"/>
  <c r="AF88" i="2"/>
  <c r="AJ88" i="2"/>
  <c r="AK264" i="2"/>
  <c r="AG264" i="2"/>
  <c r="AX392" i="2"/>
  <c r="AV392" i="2"/>
  <c r="AZ392" i="2" s="1"/>
  <c r="AU392" i="2"/>
  <c r="AY392" i="2" s="1"/>
  <c r="AF215" i="2"/>
  <c r="AJ215" i="2"/>
  <c r="BE141" i="2"/>
  <c r="BI141" i="2" s="1"/>
  <c r="BG141" i="2"/>
  <c r="BD141" i="2"/>
  <c r="BH141" i="2" s="1"/>
  <c r="AF139" i="2"/>
  <c r="AJ139" i="2"/>
  <c r="AE344" i="2"/>
  <c r="AG344" i="2" s="1"/>
  <c r="AI344" i="2"/>
  <c r="AP344" i="2" s="1"/>
  <c r="AU144" i="2"/>
  <c r="AY144" i="2" s="1"/>
  <c r="AV144" i="2"/>
  <c r="AZ144" i="2" s="1"/>
  <c r="AX144" i="2"/>
  <c r="AF412" i="2"/>
  <c r="AJ412" i="2"/>
  <c r="AF140" i="2"/>
  <c r="AJ140" i="2"/>
  <c r="BD41" i="2"/>
  <c r="BH41" i="2" s="1"/>
  <c r="BG41" i="2"/>
  <c r="BE41" i="2"/>
  <c r="BI41" i="2" s="1"/>
  <c r="AT91" i="2"/>
  <c r="AJ187" i="2"/>
  <c r="AF187" i="2"/>
  <c r="BG367" i="2"/>
  <c r="BE367" i="2"/>
  <c r="BI367" i="2" s="1"/>
  <c r="BD367" i="2"/>
  <c r="BH367" i="2" s="1"/>
  <c r="AI115" i="2"/>
  <c r="AP115" i="2" s="1"/>
  <c r="AE115" i="2"/>
  <c r="AF115" i="2" s="1"/>
  <c r="AF112" i="2"/>
  <c r="AJ112" i="2"/>
  <c r="AI392" i="2"/>
  <c r="AP392" i="2" s="1"/>
  <c r="AE392" i="2"/>
  <c r="AF392" i="2" s="1"/>
  <c r="AJ164" i="2"/>
  <c r="AF164" i="2"/>
  <c r="AK387" i="2"/>
  <c r="AG387" i="2"/>
  <c r="AF191" i="2"/>
  <c r="AJ191" i="2"/>
  <c r="AI40" i="2"/>
  <c r="AE40" i="2"/>
  <c r="AF40" i="2" s="1"/>
  <c r="AU418" i="2"/>
  <c r="AY418" i="2" s="1"/>
  <c r="AV418" i="2"/>
  <c r="AZ418" i="2" s="1"/>
  <c r="AX418" i="2"/>
  <c r="AJ63" i="2"/>
  <c r="AF63" i="2"/>
  <c r="AG112" i="2"/>
  <c r="AK112" i="2"/>
  <c r="AF466" i="2"/>
  <c r="AJ466" i="2"/>
  <c r="AX342" i="2"/>
  <c r="AV342" i="2"/>
  <c r="AZ342" i="2" s="1"/>
  <c r="AU342" i="2"/>
  <c r="AY342" i="2" s="1"/>
  <c r="BG165" i="2"/>
  <c r="BE165" i="2"/>
  <c r="BI165" i="2" s="1"/>
  <c r="BD165" i="2"/>
  <c r="BH165" i="2" s="1"/>
  <c r="AJ262" i="2"/>
  <c r="AF262" i="2"/>
  <c r="AG292" i="2"/>
  <c r="AK292" i="2"/>
  <c r="AF188" i="2"/>
  <c r="AJ188" i="2"/>
  <c r="AF388" i="2"/>
  <c r="AJ388" i="2"/>
  <c r="AE138" i="2"/>
  <c r="AI138" i="2"/>
  <c r="AK138" i="2" s="1"/>
  <c r="AU242" i="2"/>
  <c r="AY242" i="2" s="1"/>
  <c r="AV242" i="2"/>
  <c r="AZ242" i="2" s="1"/>
  <c r="AX242" i="2"/>
  <c r="AI369" i="2"/>
  <c r="AP369" i="2" s="1"/>
  <c r="AE369" i="2"/>
  <c r="AG369" i="2" s="1"/>
  <c r="AU368" i="2"/>
  <c r="AY368" i="2" s="1"/>
  <c r="AV368" i="2"/>
  <c r="AZ368" i="2" s="1"/>
  <c r="AX368" i="2"/>
  <c r="AV169" i="2"/>
  <c r="AZ169" i="2" s="1"/>
  <c r="AX169" i="2"/>
  <c r="AU169" i="2"/>
  <c r="AY169" i="2" s="1"/>
  <c r="AK291" i="2"/>
  <c r="AG291" i="2"/>
  <c r="BD69" i="2"/>
  <c r="BH69" i="2" s="1"/>
  <c r="BG69" i="2"/>
  <c r="BE69" i="2"/>
  <c r="BI69" i="2" s="1"/>
  <c r="BD268" i="2"/>
  <c r="BH268" i="2" s="1"/>
  <c r="BE268" i="2"/>
  <c r="BI268" i="2" s="1"/>
  <c r="BG268" i="2"/>
  <c r="BD92" i="2"/>
  <c r="BH92" i="2" s="1"/>
  <c r="BE92" i="2"/>
  <c r="BI92" i="2" s="1"/>
  <c r="BG92" i="2"/>
  <c r="AE218" i="2"/>
  <c r="AF218" i="2" s="1"/>
  <c r="AI218" i="2"/>
  <c r="AP218" i="2" s="1"/>
  <c r="AE437" i="2"/>
  <c r="AG437" i="2" s="1"/>
  <c r="AI437" i="2"/>
  <c r="AG312" i="2"/>
  <c r="AK312" i="2"/>
  <c r="AU419" i="2"/>
  <c r="AY419" i="2" s="1"/>
  <c r="AV419" i="2"/>
  <c r="AZ419" i="2" s="1"/>
  <c r="AX419" i="2"/>
  <c r="AG215" i="2"/>
  <c r="AK215" i="2"/>
  <c r="BC91" i="2"/>
  <c r="AX443" i="2"/>
  <c r="AV443" i="2"/>
  <c r="AZ443" i="2" s="1"/>
  <c r="AU443" i="2"/>
  <c r="AY443" i="2" s="1"/>
  <c r="AV41" i="2"/>
  <c r="AZ41" i="2" s="1"/>
  <c r="AX41" i="2"/>
  <c r="AU41" i="2"/>
  <c r="AY41" i="2" s="1"/>
  <c r="BG265" i="2"/>
  <c r="BD265" i="2"/>
  <c r="BH265" i="2" s="1"/>
  <c r="BE265" i="2"/>
  <c r="BI265" i="2" s="1"/>
  <c r="AU393" i="2"/>
  <c r="AY393" i="2" s="1"/>
  <c r="AX393" i="2"/>
  <c r="AV393" i="2"/>
  <c r="AZ393" i="2" s="1"/>
  <c r="AI91" i="2"/>
  <c r="AP91" i="2" s="1"/>
  <c r="AE91" i="2"/>
  <c r="AJ493" i="2"/>
  <c r="AF493" i="2"/>
  <c r="AI240" i="2"/>
  <c r="AP240" i="2" s="1"/>
  <c r="AE240" i="2"/>
  <c r="AU269" i="2"/>
  <c r="AY269" i="2" s="1"/>
  <c r="AV269" i="2"/>
  <c r="AZ269" i="2" s="1"/>
  <c r="AX269" i="2"/>
  <c r="AK416" i="2"/>
  <c r="AG416" i="2"/>
  <c r="AE69" i="2"/>
  <c r="AG69" i="2" s="1"/>
  <c r="AI69" i="2"/>
  <c r="AP69" i="2" s="1"/>
  <c r="BG240" i="2"/>
  <c r="BE240" i="2"/>
  <c r="BI240" i="2" s="1"/>
  <c r="BD240" i="2"/>
  <c r="BH240" i="2" s="1"/>
  <c r="AF64" i="2"/>
  <c r="AJ64" i="2"/>
  <c r="AX294" i="2"/>
  <c r="AV294" i="2"/>
  <c r="AZ294" i="2" s="1"/>
  <c r="AU294" i="2"/>
  <c r="AY294" i="2" s="1"/>
  <c r="AF391" i="2"/>
  <c r="AJ391" i="2"/>
  <c r="AV116" i="2"/>
  <c r="AZ116" i="2" s="1"/>
  <c r="AU116" i="2"/>
  <c r="AY116" i="2" s="1"/>
  <c r="AX116" i="2"/>
  <c r="BC40" i="2"/>
  <c r="AE319" i="2"/>
  <c r="AF319" i="2" s="1"/>
  <c r="AI319" i="2"/>
  <c r="AP319" i="2" s="1"/>
  <c r="AJ494" i="2"/>
  <c r="AF494" i="2"/>
  <c r="AK363" i="2"/>
  <c r="AG363" i="2"/>
  <c r="AE219" i="2"/>
  <c r="AF219" i="2" s="1"/>
  <c r="AI219" i="2"/>
  <c r="AP219" i="2" s="1"/>
  <c r="AK113" i="2"/>
  <c r="AG113" i="2"/>
  <c r="AG287" i="2"/>
  <c r="AK287" i="2"/>
  <c r="BG393" i="2"/>
  <c r="BE393" i="2"/>
  <c r="BI393" i="2" s="1"/>
  <c r="BD393" i="2"/>
  <c r="BH393" i="2" s="1"/>
  <c r="AK288" i="2"/>
  <c r="AG288" i="2"/>
  <c r="AG467" i="2"/>
  <c r="AK467" i="2"/>
  <c r="BD144" i="2"/>
  <c r="BH144" i="2" s="1"/>
  <c r="BG144" i="2"/>
  <c r="BE144" i="2"/>
  <c r="BI144" i="2" s="1"/>
  <c r="AK290" i="2"/>
  <c r="AG290" i="2"/>
  <c r="AF238" i="2"/>
  <c r="AJ238" i="2"/>
  <c r="AU142" i="2"/>
  <c r="AY142" i="2" s="1"/>
  <c r="AV142" i="2"/>
  <c r="AZ142" i="2" s="1"/>
  <c r="AX142" i="2"/>
  <c r="AF89" i="2"/>
  <c r="AJ89" i="2"/>
  <c r="AG366" i="2"/>
  <c r="AK366" i="2"/>
  <c r="AJ213" i="2"/>
  <c r="AF213" i="2"/>
  <c r="AF487" i="2"/>
  <c r="AJ487" i="2"/>
  <c r="AI93" i="2"/>
  <c r="AP93" i="2" s="1"/>
  <c r="AE93" i="2"/>
  <c r="AG93" i="2" s="1"/>
  <c r="AG62" i="2"/>
  <c r="AK62" i="2"/>
  <c r="AJ469" i="2"/>
  <c r="AF469" i="2"/>
  <c r="BG43" i="2"/>
  <c r="BE43" i="2"/>
  <c r="BI43" i="2" s="1"/>
  <c r="BD43" i="2"/>
  <c r="BH43" i="2" s="1"/>
  <c r="BD318" i="2"/>
  <c r="BH318" i="2" s="1"/>
  <c r="BE318" i="2"/>
  <c r="BI318" i="2" s="1"/>
  <c r="BG318" i="2"/>
  <c r="AE141" i="2"/>
  <c r="AG141" i="2" s="1"/>
  <c r="AI141" i="2"/>
  <c r="AP141" i="2" s="1"/>
  <c r="AG462" i="2"/>
  <c r="AK462" i="2"/>
  <c r="BE439" i="2"/>
  <c r="BI439" i="2" s="1"/>
  <c r="BG439" i="2"/>
  <c r="BD439" i="2"/>
  <c r="BH439" i="2" s="1"/>
  <c r="AU444" i="2"/>
  <c r="AY444" i="2" s="1"/>
  <c r="AV444" i="2"/>
  <c r="AZ444" i="2" s="1"/>
  <c r="AX444" i="2"/>
  <c r="AE269" i="2"/>
  <c r="AF269" i="2" s="1"/>
  <c r="AI269" i="2"/>
  <c r="AP269" i="2" s="1"/>
  <c r="AG190" i="2"/>
  <c r="AK190" i="2"/>
  <c r="AE438" i="2"/>
  <c r="AF438" i="2" s="1"/>
  <c r="AI438" i="2"/>
  <c r="AG362" i="2"/>
  <c r="AK362" i="2"/>
  <c r="BD67" i="2"/>
  <c r="BH67" i="2" s="1"/>
  <c r="BE67" i="2"/>
  <c r="BI67" i="2" s="1"/>
  <c r="BG67" i="2"/>
  <c r="BG142" i="2"/>
  <c r="BD142" i="2"/>
  <c r="BH142" i="2" s="1"/>
  <c r="BE142" i="2"/>
  <c r="BI142" i="2" s="1"/>
  <c r="AF90" i="2"/>
  <c r="AJ90" i="2"/>
  <c r="AG489" i="2"/>
  <c r="AK489" i="2"/>
  <c r="AJ137" i="2"/>
  <c r="AF137" i="2"/>
  <c r="AF414" i="2"/>
  <c r="AJ414" i="2"/>
  <c r="AG316" i="2"/>
  <c r="AK316" i="2"/>
  <c r="AE417" i="2"/>
  <c r="AI417" i="2"/>
  <c r="AP417" i="2" s="1"/>
  <c r="AI67" i="2"/>
  <c r="AP67" i="2" s="1"/>
  <c r="AE67" i="2"/>
  <c r="AF289" i="2"/>
  <c r="AJ289" i="2"/>
  <c r="BD119" i="2"/>
  <c r="BH119" i="2" s="1"/>
  <c r="BG119" i="2"/>
  <c r="BE119" i="2"/>
  <c r="BI119" i="2" s="1"/>
  <c r="AG237" i="2"/>
  <c r="AK237" i="2"/>
  <c r="AF39" i="2"/>
  <c r="AJ39" i="2"/>
  <c r="AK391" i="2"/>
  <c r="AG391" i="2"/>
  <c r="BE319" i="2"/>
  <c r="BI319" i="2" s="1"/>
  <c r="BG319" i="2"/>
  <c r="BD319" i="2"/>
  <c r="BH319" i="2" s="1"/>
  <c r="BG116" i="2"/>
  <c r="BD116" i="2"/>
  <c r="BH116" i="2" s="1"/>
  <c r="BE116" i="2"/>
  <c r="BI116" i="2" s="1"/>
  <c r="AI267" i="2"/>
  <c r="AP267" i="2" s="1"/>
  <c r="AE267" i="2"/>
  <c r="AF267" i="2" s="1"/>
  <c r="AG389" i="2"/>
  <c r="AK389" i="2"/>
  <c r="AX241" i="2"/>
  <c r="AV241" i="2"/>
  <c r="AZ241" i="2" s="1"/>
  <c r="AU241" i="2"/>
  <c r="AY241" i="2" s="1"/>
  <c r="AX265" i="2"/>
  <c r="AU265" i="2"/>
  <c r="AY265" i="2" s="1"/>
  <c r="AV265" i="2"/>
  <c r="AZ265" i="2" s="1"/>
  <c r="AG341" i="2"/>
  <c r="AK341" i="2"/>
  <c r="AX68" i="2"/>
  <c r="AV68" i="2"/>
  <c r="AZ68" i="2" s="1"/>
  <c r="AU68" i="2"/>
  <c r="AY68" i="2" s="1"/>
  <c r="AU92" i="2"/>
  <c r="AY92" i="2" s="1"/>
  <c r="AX92" i="2"/>
  <c r="AV92" i="2"/>
  <c r="AZ92" i="2" s="1"/>
  <c r="BE369" i="2"/>
  <c r="BI369" i="2" s="1"/>
  <c r="BD369" i="2"/>
  <c r="BH369" i="2" s="1"/>
  <c r="BG369" i="2"/>
  <c r="AX219" i="2"/>
  <c r="AV219" i="2"/>
  <c r="AZ219" i="2" s="1"/>
  <c r="AU219" i="2"/>
  <c r="AY219" i="2" s="1"/>
  <c r="AE42" i="2"/>
  <c r="AG42" i="2" s="1"/>
  <c r="AI42" i="2"/>
  <c r="AP42" i="2" s="1"/>
  <c r="AJ313" i="2"/>
  <c r="AF313" i="2"/>
  <c r="AI144" i="2"/>
  <c r="AP144" i="2" s="1"/>
  <c r="AE144" i="2"/>
  <c r="AF144" i="2" s="1"/>
  <c r="AJ488" i="2"/>
  <c r="AF488" i="2"/>
  <c r="AE268" i="2"/>
  <c r="AG268" i="2" s="1"/>
  <c r="AI268" i="2"/>
  <c r="AP268" i="2" s="1"/>
  <c r="AF365" i="2"/>
  <c r="AJ365" i="2"/>
  <c r="AJ190" i="2"/>
  <c r="AF190" i="2"/>
  <c r="AG487" i="2"/>
  <c r="AK487" i="2"/>
  <c r="BD342" i="2"/>
  <c r="BH342" i="2" s="1"/>
  <c r="BE342" i="2"/>
  <c r="BI342" i="2" s="1"/>
  <c r="BG342" i="2"/>
  <c r="AI293" i="2"/>
  <c r="AP293" i="2" s="1"/>
  <c r="AE293" i="2"/>
  <c r="AF293" i="2" s="1"/>
  <c r="AI168" i="2"/>
  <c r="AP168" i="2" s="1"/>
  <c r="AE168" i="2"/>
  <c r="AF168" i="2" s="1"/>
  <c r="AF288" i="2"/>
  <c r="AJ288" i="2"/>
  <c r="AF287" i="2"/>
  <c r="AJ287" i="2"/>
  <c r="AK238" i="2"/>
  <c r="AG238" i="2"/>
  <c r="BE418" i="2"/>
  <c r="BI418" i="2" s="1"/>
  <c r="BD418" i="2"/>
  <c r="BH418" i="2" s="1"/>
  <c r="BG418" i="2"/>
  <c r="AU240" i="2"/>
  <c r="AY240" i="2" s="1"/>
  <c r="AV240" i="2"/>
  <c r="AZ240" i="2" s="1"/>
  <c r="AX240" i="2"/>
  <c r="AX115" i="2"/>
  <c r="AV115" i="2"/>
  <c r="AZ115" i="2" s="1"/>
  <c r="AU115" i="2"/>
  <c r="AY115" i="2" s="1"/>
  <c r="AI294" i="2"/>
  <c r="AP294" i="2" s="1"/>
  <c r="AE294" i="2"/>
  <c r="AG294" i="2" s="1"/>
  <c r="AX439" i="2"/>
  <c r="AV439" i="2"/>
  <c r="AZ439" i="2" s="1"/>
  <c r="AU439" i="2"/>
  <c r="AY439" i="2" s="1"/>
  <c r="AI217" i="2"/>
  <c r="AP217" i="2" s="1"/>
  <c r="AE217" i="2"/>
  <c r="AG217" i="2" s="1"/>
  <c r="AI266" i="2"/>
  <c r="AP266" i="2" s="1"/>
  <c r="AE266" i="2"/>
  <c r="AG266" i="2" s="1"/>
  <c r="AG164" i="2"/>
  <c r="AK164" i="2"/>
  <c r="AE265" i="2"/>
  <c r="AF265" i="2" s="1"/>
  <c r="AI265" i="2"/>
  <c r="AP265" i="2" s="1"/>
  <c r="BE168" i="2"/>
  <c r="BI168" i="2" s="1"/>
  <c r="BG168" i="2"/>
  <c r="BD168" i="2"/>
  <c r="BH168" i="2" s="1"/>
  <c r="AK140" i="2"/>
  <c r="AG140" i="2"/>
  <c r="AI114" i="2"/>
  <c r="AJ114" i="2" s="1"/>
  <c r="AE114" i="2"/>
  <c r="AE165" i="2"/>
  <c r="AG165" i="2" s="1"/>
  <c r="AI165" i="2"/>
  <c r="AP165" i="2" s="1"/>
  <c r="AF264" i="2"/>
  <c r="AJ264" i="2"/>
  <c r="AU165" i="2"/>
  <c r="AY165" i="2" s="1"/>
  <c r="AV165" i="2"/>
  <c r="AZ165" i="2" s="1"/>
  <c r="AX165" i="2"/>
  <c r="BG392" i="2"/>
  <c r="BE392" i="2"/>
  <c r="BI392" i="2" s="1"/>
  <c r="BD392" i="2"/>
  <c r="BH392" i="2" s="1"/>
  <c r="BD417" i="2"/>
  <c r="BH417" i="2" s="1"/>
  <c r="BG417" i="2"/>
  <c r="BE417" i="2"/>
  <c r="BI417" i="2" s="1"/>
  <c r="AE44" i="2"/>
  <c r="AG44" i="2" s="1"/>
  <c r="AI44" i="2"/>
  <c r="AP44" i="2" s="1"/>
  <c r="AF316" i="2"/>
  <c r="AJ316" i="2"/>
  <c r="BE368" i="2"/>
  <c r="BI368" i="2" s="1"/>
  <c r="BD368" i="2"/>
  <c r="BH368" i="2" s="1"/>
  <c r="BG368" i="2"/>
  <c r="AG490" i="2"/>
  <c r="AK490" i="2"/>
  <c r="AV442" i="2"/>
  <c r="AZ442" i="2" s="1"/>
  <c r="AX442" i="2"/>
  <c r="AU442" i="2"/>
  <c r="AY442" i="2" s="1"/>
  <c r="BG44" i="2"/>
  <c r="BE44" i="2"/>
  <c r="BI44" i="2" s="1"/>
  <c r="BD44" i="2"/>
  <c r="BH44" i="2" s="1"/>
  <c r="AJ292" i="2"/>
  <c r="AF292" i="2"/>
  <c r="AG414" i="2"/>
  <c r="AK414" i="2"/>
  <c r="AX167" i="2"/>
  <c r="AV167" i="2"/>
  <c r="AZ167" i="2" s="1"/>
  <c r="AU167" i="2"/>
  <c r="AY167" i="2" s="1"/>
  <c r="AG466" i="2"/>
  <c r="AK466" i="2"/>
  <c r="AE439" i="2"/>
  <c r="AF439" i="2" s="1"/>
  <c r="AI439" i="2"/>
  <c r="AP439" i="2" s="1"/>
  <c r="AX44" i="2"/>
  <c r="AU44" i="2"/>
  <c r="AY44" i="2" s="1"/>
  <c r="AV44" i="2"/>
  <c r="AZ44" i="2" s="1"/>
  <c r="AI318" i="2"/>
  <c r="AP318" i="2" s="1"/>
  <c r="AE318" i="2"/>
  <c r="AG318" i="2" s="1"/>
  <c r="AX42" i="2"/>
  <c r="AU42" i="2"/>
  <c r="AY42" i="2" s="1"/>
  <c r="AV42" i="2"/>
  <c r="AZ42" i="2" s="1"/>
  <c r="AG493" i="2"/>
  <c r="AK493" i="2"/>
  <c r="AI394" i="2"/>
  <c r="AP394" i="2" s="1"/>
  <c r="AE394" i="2"/>
  <c r="AG394" i="2" s="1"/>
  <c r="AU218" i="2"/>
  <c r="AY218" i="2" s="1"/>
  <c r="AV218" i="2"/>
  <c r="AZ218" i="2" s="1"/>
  <c r="AX218" i="2"/>
  <c r="L250" i="7"/>
  <c r="AG337" i="2"/>
  <c r="AK337" i="2"/>
  <c r="AU318" i="2"/>
  <c r="AY318" i="2" s="1"/>
  <c r="AX318" i="2"/>
  <c r="AV318" i="2"/>
  <c r="AZ318" i="2" s="1"/>
  <c r="M260" i="7"/>
  <c r="M271" i="7" s="1"/>
  <c r="P60" i="7" s="1"/>
  <c r="T60" i="7" s="1"/>
  <c r="AO60" i="7" s="1"/>
  <c r="AJ291" i="2"/>
  <c r="AF291" i="2"/>
  <c r="AT138" i="2"/>
  <c r="AE169" i="2"/>
  <c r="AF169" i="2" s="1"/>
  <c r="AI169" i="2"/>
  <c r="AP169" i="2" s="1"/>
  <c r="AE117" i="2"/>
  <c r="AF117" i="2" s="1"/>
  <c r="AI117" i="2"/>
  <c r="AP117" i="2" s="1"/>
  <c r="AX417" i="2"/>
  <c r="AU417" i="2"/>
  <c r="AY417" i="2" s="1"/>
  <c r="AV417" i="2"/>
  <c r="AZ417" i="2" s="1"/>
  <c r="AX267" i="2"/>
  <c r="AU267" i="2"/>
  <c r="AY267" i="2" s="1"/>
  <c r="AV267" i="2"/>
  <c r="AZ267" i="2" s="1"/>
  <c r="AI342" i="2"/>
  <c r="AP342" i="2" s="1"/>
  <c r="AE342" i="2"/>
  <c r="AV441" i="2"/>
  <c r="AZ441" i="2" s="1"/>
  <c r="AU441" i="2"/>
  <c r="AY441" i="2" s="1"/>
  <c r="AX441" i="2"/>
  <c r="BD267" i="2"/>
  <c r="BH267" i="2" s="1"/>
  <c r="BE267" i="2"/>
  <c r="BI267" i="2" s="1"/>
  <c r="BG267" i="2"/>
  <c r="AJ290" i="2"/>
  <c r="AF290" i="2"/>
  <c r="BE192" i="2"/>
  <c r="BI192" i="2" s="1"/>
  <c r="BG192" i="2"/>
  <c r="BD192" i="2"/>
  <c r="BH192" i="2" s="1"/>
  <c r="AF243" i="2" l="1"/>
  <c r="AP313" i="2"/>
  <c r="AX437" i="2"/>
  <c r="AU114" i="2"/>
  <c r="AY114" i="2" s="1"/>
  <c r="BD437" i="2"/>
  <c r="BH437" i="2" s="1"/>
  <c r="AG92" i="2"/>
  <c r="AU437" i="2"/>
  <c r="AY437" i="2" s="1"/>
  <c r="BA437" i="2" s="1"/>
  <c r="AP390" i="2"/>
  <c r="AV438" i="2"/>
  <c r="AZ438" i="2" s="1"/>
  <c r="AP213" i="2"/>
  <c r="AJ92" i="2"/>
  <c r="AU438" i="2"/>
  <c r="AY438" i="2" s="1"/>
  <c r="AP490" i="2"/>
  <c r="BG437" i="2"/>
  <c r="BG138" i="2"/>
  <c r="AJ41" i="2"/>
  <c r="BD438" i="2"/>
  <c r="BH438" i="2" s="1"/>
  <c r="AK93" i="2"/>
  <c r="BG438" i="2"/>
  <c r="AK167" i="2"/>
  <c r="AJ68" i="2"/>
  <c r="AF242" i="2"/>
  <c r="AP264" i="2"/>
  <c r="S60" i="7"/>
  <c r="AE445" i="2"/>
  <c r="AP493" i="2"/>
  <c r="AJ241" i="2"/>
  <c r="AP191" i="2"/>
  <c r="BE38" i="2"/>
  <c r="BI38" i="2" s="1"/>
  <c r="AP37" i="2"/>
  <c r="AJ269" i="2"/>
  <c r="AF116" i="2"/>
  <c r="AJ67" i="2"/>
  <c r="AG219" i="2"/>
  <c r="AK241" i="2"/>
  <c r="AJ244" i="2"/>
  <c r="AF244" i="2"/>
  <c r="AP314" i="2"/>
  <c r="AG43" i="2"/>
  <c r="AP291" i="2"/>
  <c r="AK440" i="2"/>
  <c r="M223" i="7"/>
  <c r="AK91" i="2"/>
  <c r="L255" i="7"/>
  <c r="O59" i="7" s="1"/>
  <c r="AM59" i="7" s="1"/>
  <c r="AJ192" i="2"/>
  <c r="AG119" i="2"/>
  <c r="AJ418" i="2"/>
  <c r="AK243" i="2"/>
  <c r="AJ94" i="2"/>
  <c r="N75" i="8"/>
  <c r="Q75" i="8" s="1"/>
  <c r="Q87" i="8" s="1"/>
  <c r="Q88" i="8" s="1"/>
  <c r="Q25" i="8" s="1"/>
  <c r="AK240" i="2"/>
  <c r="AK219" i="2"/>
  <c r="AP262" i="2"/>
  <c r="AJ193" i="2"/>
  <c r="AK343" i="2"/>
  <c r="AP89" i="2"/>
  <c r="BD38" i="2"/>
  <c r="BH38" i="2" s="1"/>
  <c r="BJ38" i="2" s="1"/>
  <c r="AK142" i="2"/>
  <c r="AP87" i="2"/>
  <c r="AJ437" i="2"/>
  <c r="AG218" i="2"/>
  <c r="AF141" i="2"/>
  <c r="AG442" i="2"/>
  <c r="AK92" i="2"/>
  <c r="AJ343" i="2"/>
  <c r="AK193" i="2"/>
  <c r="AP62" i="2"/>
  <c r="AJ167" i="2"/>
  <c r="AJ243" i="2"/>
  <c r="BD138" i="2"/>
  <c r="BH138" i="2" s="1"/>
  <c r="AG142" i="2"/>
  <c r="AP190" i="2"/>
  <c r="AF193" i="2"/>
  <c r="AP137" i="2"/>
  <c r="AK69" i="2"/>
  <c r="AJ43" i="2"/>
  <c r="AG143" i="2"/>
  <c r="AP338" i="2"/>
  <c r="AP341" i="2"/>
  <c r="AP366" i="2"/>
  <c r="AF194" i="2"/>
  <c r="AG118" i="2"/>
  <c r="AK418" i="2"/>
  <c r="AF93" i="2"/>
  <c r="AJ116" i="2"/>
  <c r="AK116" i="2"/>
  <c r="AP90" i="2"/>
  <c r="AP64" i="2"/>
  <c r="AP388" i="2"/>
  <c r="AF437" i="2"/>
  <c r="AF445" i="2" s="1"/>
  <c r="AP215" i="2"/>
  <c r="AF41" i="2"/>
  <c r="AK218" i="2"/>
  <c r="AJ93" i="2"/>
  <c r="AF94" i="2"/>
  <c r="AK369" i="2"/>
  <c r="AF344" i="2"/>
  <c r="AF166" i="2"/>
  <c r="AK242" i="2"/>
  <c r="AP66" i="2"/>
  <c r="AG441" i="2"/>
  <c r="AK43" i="2"/>
  <c r="AP162" i="2"/>
  <c r="AK368" i="2"/>
  <c r="AP288" i="2"/>
  <c r="AJ91" i="2"/>
  <c r="AP365" i="2"/>
  <c r="AP489" i="2"/>
  <c r="AJ118" i="2"/>
  <c r="AJ368" i="2"/>
  <c r="AG444" i="2"/>
  <c r="AG440" i="2"/>
  <c r="AJ242" i="2"/>
  <c r="AP412" i="2"/>
  <c r="AP139" i="2"/>
  <c r="AK118" i="2"/>
  <c r="AG393" i="2"/>
  <c r="AJ393" i="2"/>
  <c r="AP289" i="2"/>
  <c r="AP290" i="2"/>
  <c r="AK265" i="2"/>
  <c r="AP316" i="2"/>
  <c r="AF294" i="2"/>
  <c r="AF295" i="2" s="1"/>
  <c r="AP287" i="2"/>
  <c r="AJ141" i="2"/>
  <c r="AJ441" i="2"/>
  <c r="AG241" i="2"/>
  <c r="AP188" i="2"/>
  <c r="AJ166" i="2"/>
  <c r="AJ142" i="2"/>
  <c r="BA293" i="2"/>
  <c r="BA118" i="2"/>
  <c r="BA38" i="2"/>
  <c r="AG265" i="2"/>
  <c r="AG269" i="2"/>
  <c r="BJ439" i="2"/>
  <c r="AG438" i="2"/>
  <c r="BJ318" i="2"/>
  <c r="BA343" i="2"/>
  <c r="AK393" i="2"/>
  <c r="BJ244" i="2"/>
  <c r="BA92" i="2"/>
  <c r="BA68" i="2"/>
  <c r="BJ93" i="2"/>
  <c r="BJ143" i="2"/>
  <c r="BJ194" i="2"/>
  <c r="AK217" i="2"/>
  <c r="AK417" i="2"/>
  <c r="BA116" i="2"/>
  <c r="BJ192" i="2"/>
  <c r="BJ267" i="2"/>
  <c r="BJ168" i="2"/>
  <c r="BJ116" i="2"/>
  <c r="AK269" i="2"/>
  <c r="BA444" i="2"/>
  <c r="AJ217" i="2"/>
  <c r="BA393" i="2"/>
  <c r="BJ265" i="2"/>
  <c r="AJ115" i="2"/>
  <c r="BA243" i="2"/>
  <c r="AP463" i="2"/>
  <c r="BJ266" i="2"/>
  <c r="AP216" i="2"/>
  <c r="BA369" i="2"/>
  <c r="BA319" i="2"/>
  <c r="BA394" i="2"/>
  <c r="AK67" i="2"/>
  <c r="BA266" i="2"/>
  <c r="BJ219" i="2"/>
  <c r="BJ166" i="2"/>
  <c r="BJ241" i="2"/>
  <c r="AK144" i="2"/>
  <c r="AP315" i="2"/>
  <c r="BA166" i="2"/>
  <c r="BA439" i="2"/>
  <c r="BA240" i="2"/>
  <c r="BJ393" i="2"/>
  <c r="AG115" i="2"/>
  <c r="AP337" i="2"/>
  <c r="BA168" i="2"/>
  <c r="AE45" i="2"/>
  <c r="AF266" i="2"/>
  <c r="BA192" i="2"/>
  <c r="AP65" i="2"/>
  <c r="BA218" i="2"/>
  <c r="AJ342" i="2"/>
  <c r="BJ319" i="2"/>
  <c r="AJ168" i="2"/>
  <c r="AJ165" i="2"/>
  <c r="BJ144" i="2"/>
  <c r="BA294" i="2"/>
  <c r="AJ369" i="2"/>
  <c r="AJ138" i="2"/>
  <c r="AP138" i="2" s="1"/>
  <c r="BA41" i="2"/>
  <c r="BA169" i="2"/>
  <c r="AP112" i="2"/>
  <c r="AP469" i="2"/>
  <c r="BJ419" i="2"/>
  <c r="BJ269" i="2"/>
  <c r="AK441" i="2"/>
  <c r="BJ167" i="2"/>
  <c r="AP317" i="2"/>
  <c r="AP312" i="2"/>
  <c r="BA143" i="2"/>
  <c r="BA117" i="2"/>
  <c r="BJ118" i="2"/>
  <c r="AK437" i="2"/>
  <c r="AJ392" i="2"/>
  <c r="AK68" i="2"/>
  <c r="AK165" i="2"/>
  <c r="AG267" i="2"/>
  <c r="BA440" i="2"/>
  <c r="AG40" i="2"/>
  <c r="AJ265" i="2"/>
  <c r="AP239" i="2"/>
  <c r="AK94" i="2"/>
  <c r="AP363" i="2"/>
  <c r="AG169" i="2"/>
  <c r="AP415" i="2"/>
  <c r="AP39" i="2"/>
  <c r="AJ419" i="2"/>
  <c r="AP462" i="2"/>
  <c r="AK394" i="2"/>
  <c r="AF342" i="2"/>
  <c r="AE345" i="2"/>
  <c r="BA267" i="2"/>
  <c r="BA318" i="2"/>
  <c r="BA42" i="2"/>
  <c r="BJ44" i="2"/>
  <c r="AK439" i="2"/>
  <c r="BJ417" i="2"/>
  <c r="BJ392" i="2"/>
  <c r="AG114" i="2"/>
  <c r="AE120" i="2"/>
  <c r="BJ342" i="2"/>
  <c r="AP488" i="2"/>
  <c r="BA241" i="2"/>
  <c r="BJ119" i="2"/>
  <c r="AF67" i="2"/>
  <c r="AE70" i="2"/>
  <c r="AP414" i="2"/>
  <c r="AJ443" i="2"/>
  <c r="BJ43" i="2"/>
  <c r="BA142" i="2"/>
  <c r="AG117" i="2"/>
  <c r="AJ194" i="2"/>
  <c r="AJ143" i="2"/>
  <c r="BJ240" i="2"/>
  <c r="AF369" i="2"/>
  <c r="AK143" i="2"/>
  <c r="AG240" i="2"/>
  <c r="AG245" i="2" s="1"/>
  <c r="AE245" i="2"/>
  <c r="BJ268" i="2"/>
  <c r="BJ69" i="2"/>
  <c r="BA368" i="2"/>
  <c r="AP292" i="2"/>
  <c r="AP164" i="2"/>
  <c r="BJ41" i="2"/>
  <c r="AG342" i="2"/>
  <c r="BA144" i="2"/>
  <c r="BJ193" i="2"/>
  <c r="BA141" i="2"/>
  <c r="AF367" i="2"/>
  <c r="AE370" i="2"/>
  <c r="AK293" i="2"/>
  <c r="AG470" i="2"/>
  <c r="AJ293" i="2"/>
  <c r="BA69" i="2"/>
  <c r="AP163" i="2"/>
  <c r="BJ344" i="2"/>
  <c r="BJ169" i="2"/>
  <c r="AP467" i="2"/>
  <c r="BJ114" i="2"/>
  <c r="AJ240" i="2"/>
  <c r="BA244" i="2"/>
  <c r="AF394" i="2"/>
  <c r="AF395" i="2" s="1"/>
  <c r="BA67" i="2"/>
  <c r="BA194" i="2"/>
  <c r="AG67" i="2"/>
  <c r="AK443" i="2"/>
  <c r="AP63" i="2"/>
  <c r="BA119" i="2"/>
  <c r="AJ318" i="2"/>
  <c r="AK169" i="2"/>
  <c r="BJ440" i="2"/>
  <c r="AP492" i="2"/>
  <c r="BJ441" i="2"/>
  <c r="AJ266" i="2"/>
  <c r="AP389" i="2"/>
  <c r="AK166" i="2"/>
  <c r="AF470" i="2"/>
  <c r="AP263" i="2"/>
  <c r="AP362" i="2"/>
  <c r="AG144" i="2"/>
  <c r="AG68" i="2"/>
  <c r="AK419" i="2"/>
  <c r="BJ243" i="2"/>
  <c r="AK42" i="2"/>
  <c r="BA43" i="2"/>
  <c r="AF217" i="2"/>
  <c r="AF220" i="2" s="1"/>
  <c r="AE220" i="2"/>
  <c r="AJ267" i="2"/>
  <c r="AK344" i="2"/>
  <c r="AF318" i="2"/>
  <c r="AF320" i="2" s="1"/>
  <c r="AE320" i="2"/>
  <c r="AJ294" i="2"/>
  <c r="AJ44" i="2"/>
  <c r="AK114" i="2"/>
  <c r="AP114" i="2" s="1"/>
  <c r="BA219" i="2"/>
  <c r="BA265" i="2"/>
  <c r="AG343" i="2"/>
  <c r="AG417" i="2"/>
  <c r="AE420" i="2"/>
  <c r="BJ142" i="2"/>
  <c r="AK367" i="2"/>
  <c r="AM51" i="7"/>
  <c r="S51" i="7"/>
  <c r="AK117" i="2"/>
  <c r="AP238" i="2"/>
  <c r="AJ268" i="2"/>
  <c r="BA269" i="2"/>
  <c r="AJ440" i="2"/>
  <c r="BA443" i="2"/>
  <c r="BA419" i="2"/>
  <c r="BJ92" i="2"/>
  <c r="BA242" i="2"/>
  <c r="AF138" i="2"/>
  <c r="AE145" i="2"/>
  <c r="AK119" i="2"/>
  <c r="BA342" i="2"/>
  <c r="AF38" i="2"/>
  <c r="AG392" i="2"/>
  <c r="AE395" i="2"/>
  <c r="AJ319" i="2"/>
  <c r="AK194" i="2"/>
  <c r="AK342" i="2"/>
  <c r="AF368" i="2"/>
  <c r="AU40" i="2"/>
  <c r="AY40" i="2" s="1"/>
  <c r="AV40" i="2"/>
  <c r="AZ40" i="2" s="1"/>
  <c r="AX40" i="2"/>
  <c r="BJ117" i="2"/>
  <c r="BJ394" i="2"/>
  <c r="BA268" i="2"/>
  <c r="AP387" i="2"/>
  <c r="AF192" i="2"/>
  <c r="AE195" i="2"/>
  <c r="BA193" i="2"/>
  <c r="BJ442" i="2"/>
  <c r="AP88" i="2"/>
  <c r="AJ117" i="2"/>
  <c r="BA344" i="2"/>
  <c r="AP187" i="2"/>
  <c r="AF240" i="2"/>
  <c r="AP113" i="2"/>
  <c r="AJ394" i="2"/>
  <c r="AG168" i="2"/>
  <c r="AG319" i="2"/>
  <c r="AG320" i="2" s="1"/>
  <c r="AP416" i="2"/>
  <c r="AG443" i="2"/>
  <c r="AG138" i="2"/>
  <c r="AP189" i="2"/>
  <c r="AJ69" i="2"/>
  <c r="AJ144" i="2"/>
  <c r="AK392" i="2"/>
  <c r="AK141" i="2"/>
  <c r="AP494" i="2"/>
  <c r="BJ294" i="2"/>
  <c r="AJ119" i="2"/>
  <c r="AJ444" i="2"/>
  <c r="BJ218" i="2"/>
  <c r="AF42" i="2"/>
  <c r="BJ443" i="2"/>
  <c r="BA217" i="2"/>
  <c r="AF417" i="2"/>
  <c r="AK41" i="2"/>
  <c r="AF165" i="2"/>
  <c r="AE170" i="2"/>
  <c r="AK268" i="2"/>
  <c r="AF91" i="2"/>
  <c r="AE95" i="2"/>
  <c r="AK244" i="2"/>
  <c r="BA417" i="2"/>
  <c r="BA44" i="2"/>
  <c r="AG439" i="2"/>
  <c r="BA165" i="2"/>
  <c r="BA441" i="2"/>
  <c r="AK444" i="2"/>
  <c r="AU138" i="2"/>
  <c r="AY138" i="2" s="1"/>
  <c r="AX138" i="2"/>
  <c r="AV138" i="2"/>
  <c r="AZ138" i="2" s="1"/>
  <c r="BA167" i="2"/>
  <c r="BA442" i="2"/>
  <c r="AG418" i="2"/>
  <c r="BJ368" i="2"/>
  <c r="AE270" i="2"/>
  <c r="AK44" i="2"/>
  <c r="BA115" i="2"/>
  <c r="BJ418" i="2"/>
  <c r="AG293" i="2"/>
  <c r="AG295" i="2" s="1"/>
  <c r="AE295" i="2"/>
  <c r="AK442" i="2"/>
  <c r="AF44" i="2"/>
  <c r="AJ218" i="2"/>
  <c r="BJ369" i="2"/>
  <c r="AJ439" i="2"/>
  <c r="AJ169" i="2"/>
  <c r="AG91" i="2"/>
  <c r="BJ67" i="2"/>
  <c r="AG370" i="2"/>
  <c r="AJ219" i="2"/>
  <c r="AJ438" i="2"/>
  <c r="AK438" i="2"/>
  <c r="AG38" i="2"/>
  <c r="AK266" i="2"/>
  <c r="AK294" i="2"/>
  <c r="AK267" i="2"/>
  <c r="BG40" i="2"/>
  <c r="BE40" i="2"/>
  <c r="BI40" i="2" s="1"/>
  <c r="BD40" i="2"/>
  <c r="BH40" i="2" s="1"/>
  <c r="AP391" i="2"/>
  <c r="AF268" i="2"/>
  <c r="AJ344" i="2"/>
  <c r="BE91" i="2"/>
  <c r="BI91" i="2" s="1"/>
  <c r="BG91" i="2"/>
  <c r="BD91" i="2"/>
  <c r="BH91" i="2" s="1"/>
  <c r="BJ165" i="2"/>
  <c r="AP466" i="2"/>
  <c r="BA418" i="2"/>
  <c r="AJ40" i="2"/>
  <c r="BJ367" i="2"/>
  <c r="AV91" i="2"/>
  <c r="AZ91" i="2" s="1"/>
  <c r="AX91" i="2"/>
  <c r="AU91" i="2"/>
  <c r="AY91" i="2" s="1"/>
  <c r="AP140" i="2"/>
  <c r="BJ141" i="2"/>
  <c r="BA392" i="2"/>
  <c r="BJ68" i="2"/>
  <c r="AM58" i="7"/>
  <c r="L75" i="8"/>
  <c r="O75" i="8" s="1"/>
  <c r="O87" i="8" s="1"/>
  <c r="O88" i="8" s="1"/>
  <c r="O25" i="8" s="1"/>
  <c r="S58" i="7"/>
  <c r="AP464" i="2"/>
  <c r="BJ242" i="2"/>
  <c r="AK40" i="2"/>
  <c r="BJ217" i="2"/>
  <c r="BA367" i="2"/>
  <c r="BA93" i="2"/>
  <c r="AK115" i="2"/>
  <c r="BJ115" i="2"/>
  <c r="BJ42" i="2"/>
  <c r="AG195" i="2"/>
  <c r="BJ94" i="2"/>
  <c r="AK168" i="2"/>
  <c r="AK319" i="2"/>
  <c r="AK38" i="2"/>
  <c r="AP38" i="2" s="1"/>
  <c r="AP413" i="2"/>
  <c r="AP212" i="2"/>
  <c r="BJ444" i="2"/>
  <c r="AJ367" i="2"/>
  <c r="AF69" i="2"/>
  <c r="BA94" i="2"/>
  <c r="AF114" i="2"/>
  <c r="AK192" i="2"/>
  <c r="AP465" i="2"/>
  <c r="AF419" i="2"/>
  <c r="AJ42" i="2"/>
  <c r="AK318" i="2"/>
  <c r="AP491" i="2"/>
  <c r="AP237" i="2"/>
  <c r="BJ343" i="2"/>
  <c r="BJ293" i="2"/>
  <c r="AF167" i="2"/>
  <c r="BA114" i="2"/>
  <c r="AP468" i="2"/>
  <c r="AJ417" i="2"/>
  <c r="AJ442" i="2"/>
  <c r="AG95" i="2" l="1"/>
  <c r="BJ437" i="2"/>
  <c r="BA438" i="2"/>
  <c r="BA448" i="2" s="1"/>
  <c r="K449" i="2" s="1"/>
  <c r="BP25" i="2" s="1"/>
  <c r="K25" i="2" s="1"/>
  <c r="BJ438" i="2"/>
  <c r="AF145" i="2"/>
  <c r="AF270" i="2"/>
  <c r="AF245" i="2"/>
  <c r="AG248" i="2" s="1"/>
  <c r="AG220" i="2"/>
  <c r="AG223" i="2" s="1"/>
  <c r="BJ138" i="2"/>
  <c r="AP223" i="2"/>
  <c r="AP173" i="2"/>
  <c r="AF120" i="2"/>
  <c r="AG170" i="2"/>
  <c r="AG445" i="2"/>
  <c r="AG448" i="2" s="1"/>
  <c r="AP438" i="2"/>
  <c r="AP437" i="2"/>
  <c r="AP348" i="2"/>
  <c r="AG145" i="2"/>
  <c r="AF345" i="2"/>
  <c r="AP273" i="2"/>
  <c r="AF95" i="2"/>
  <c r="AG98" i="2" s="1"/>
  <c r="S59" i="7"/>
  <c r="AG45" i="2"/>
  <c r="BA323" i="2"/>
  <c r="K324" i="2" s="1"/>
  <c r="BP20" i="2" s="1"/>
  <c r="K20" i="2" s="1"/>
  <c r="AP248" i="2"/>
  <c r="AP98" i="2"/>
  <c r="AF195" i="2"/>
  <c r="AG198" i="2" s="1"/>
  <c r="AF370" i="2"/>
  <c r="AG373" i="2" s="1"/>
  <c r="AG345" i="2"/>
  <c r="BA248" i="2"/>
  <c r="K249" i="2" s="1"/>
  <c r="BP17" i="2" s="1"/>
  <c r="K17" i="2" s="1"/>
  <c r="AP73" i="2"/>
  <c r="AF70" i="2"/>
  <c r="AG420" i="2"/>
  <c r="BA223" i="2"/>
  <c r="K224" i="2" s="1"/>
  <c r="BP16" i="2" s="1"/>
  <c r="K16" i="2" s="1"/>
  <c r="BJ198" i="2"/>
  <c r="R199" i="2" s="1"/>
  <c r="BJ323" i="2"/>
  <c r="R324" i="2" s="1"/>
  <c r="AG270" i="2"/>
  <c r="AP423" i="2"/>
  <c r="AG395" i="2"/>
  <c r="AG398" i="2" s="1"/>
  <c r="BA398" i="2"/>
  <c r="K399" i="2" s="1"/>
  <c r="BP23" i="2" s="1"/>
  <c r="K23" i="2" s="1"/>
  <c r="BA123" i="2"/>
  <c r="K124" i="2" s="1"/>
  <c r="BP12" i="2" s="1"/>
  <c r="K12" i="2" s="1"/>
  <c r="L41" i="8" s="1"/>
  <c r="O41" i="8" s="1"/>
  <c r="BJ223" i="2"/>
  <c r="R224" i="2" s="1"/>
  <c r="AG120" i="2"/>
  <c r="AP323" i="2"/>
  <c r="BA298" i="2"/>
  <c r="K299" i="2" s="1"/>
  <c r="BP19" i="2" s="1"/>
  <c r="K19" i="2" s="1"/>
  <c r="AP298" i="2"/>
  <c r="BJ298" i="2"/>
  <c r="R299" i="2" s="1"/>
  <c r="BA373" i="2"/>
  <c r="K374" i="2" s="1"/>
  <c r="BP22" i="2" s="1"/>
  <c r="K22" i="2" s="1"/>
  <c r="BJ148" i="2"/>
  <c r="R149" i="2" s="1"/>
  <c r="BA198" i="2"/>
  <c r="K199" i="2" s="1"/>
  <c r="BP15" i="2" s="1"/>
  <c r="K15" i="2" s="1"/>
  <c r="AP373" i="2"/>
  <c r="BJ173" i="2"/>
  <c r="R174" i="2" s="1"/>
  <c r="BJ273" i="2"/>
  <c r="R274" i="2" s="1"/>
  <c r="BA138" i="2"/>
  <c r="BA148" i="2" s="1"/>
  <c r="K149" i="2" s="1"/>
  <c r="BP13" i="2" s="1"/>
  <c r="K13" i="2" s="1"/>
  <c r="BJ91" i="2"/>
  <c r="BJ98" i="2" s="1"/>
  <c r="R99" i="2" s="1"/>
  <c r="AF420" i="2"/>
  <c r="AF170" i="2"/>
  <c r="AG173" i="2" s="1"/>
  <c r="BA173" i="2"/>
  <c r="K174" i="2" s="1"/>
  <c r="BP14" i="2" s="1"/>
  <c r="K14" i="2" s="1"/>
  <c r="L43" i="8" s="1"/>
  <c r="O43" i="8" s="1"/>
  <c r="AP198" i="2"/>
  <c r="AP40" i="2"/>
  <c r="AP48" i="2" s="1"/>
  <c r="AF45" i="2"/>
  <c r="AG70" i="2"/>
  <c r="AP148" i="2"/>
  <c r="BA91" i="2"/>
  <c r="BA98" i="2" s="1"/>
  <c r="K99" i="2" s="1"/>
  <c r="BP11" i="2" s="1"/>
  <c r="K11" i="2" s="1"/>
  <c r="L40" i="8" s="1"/>
  <c r="O40" i="8" s="1"/>
  <c r="AP123" i="2"/>
  <c r="BA348" i="2"/>
  <c r="K349" i="2" s="1"/>
  <c r="BP21" i="2" s="1"/>
  <c r="K21" i="2" s="1"/>
  <c r="BJ248" i="2"/>
  <c r="R249" i="2" s="1"/>
  <c r="AG298" i="2"/>
  <c r="AP473" i="2"/>
  <c r="BJ40" i="2"/>
  <c r="BJ48" i="2" s="1"/>
  <c r="R49" i="2" s="1"/>
  <c r="BA273" i="2"/>
  <c r="K274" i="2" s="1"/>
  <c r="BP18" i="2" s="1"/>
  <c r="K18" i="2" s="1"/>
  <c r="AG473" i="2"/>
  <c r="BA73" i="2"/>
  <c r="K74" i="2" s="1"/>
  <c r="BP10" i="2" s="1"/>
  <c r="K10" i="2" s="1"/>
  <c r="L39" i="8" s="1"/>
  <c r="O39" i="8" s="1"/>
  <c r="AP498" i="2"/>
  <c r="BJ398" i="2"/>
  <c r="R399" i="2" s="1"/>
  <c r="AP398" i="2"/>
  <c r="AG323" i="2"/>
  <c r="BJ123" i="2"/>
  <c r="R124" i="2" s="1"/>
  <c r="BJ348" i="2"/>
  <c r="R349" i="2" s="1"/>
  <c r="BJ423" i="2"/>
  <c r="R424" i="2" s="1"/>
  <c r="BJ373" i="2"/>
  <c r="R374" i="2" s="1"/>
  <c r="BJ73" i="2"/>
  <c r="R74" i="2" s="1"/>
  <c r="BA423" i="2"/>
  <c r="K424" i="2" s="1"/>
  <c r="BP24" i="2" s="1"/>
  <c r="K24" i="2" s="1"/>
  <c r="BA40" i="2"/>
  <c r="BA48" i="2" s="1"/>
  <c r="K49" i="2" s="1"/>
  <c r="BP9" i="2" s="1"/>
  <c r="K9" i="2" s="1"/>
  <c r="BJ448" i="2" l="1"/>
  <c r="R449" i="2" s="1"/>
  <c r="AE173" i="2"/>
  <c r="AE177" i="2" s="1"/>
  <c r="K171" i="2" s="1"/>
  <c r="AG48" i="2"/>
  <c r="AE48" i="2" s="1"/>
  <c r="AE52" i="2" s="1"/>
  <c r="K46" i="2" s="1"/>
  <c r="AG148" i="2"/>
  <c r="AE148" i="2" s="1"/>
  <c r="AE152" i="2" s="1"/>
  <c r="K146" i="2" s="1"/>
  <c r="AG273" i="2"/>
  <c r="AE273" i="2" s="1"/>
  <c r="AE277" i="2" s="1"/>
  <c r="K271" i="2" s="1"/>
  <c r="AE223" i="2"/>
  <c r="AE227" i="2" s="1"/>
  <c r="Z223" i="2" s="1"/>
  <c r="AU222" i="2" s="1"/>
  <c r="AG123" i="2"/>
  <c r="AE123" i="2" s="1"/>
  <c r="AE127" i="2" s="1"/>
  <c r="K121" i="2" s="1"/>
  <c r="AG348" i="2"/>
  <c r="AE348" i="2" s="1"/>
  <c r="AE352" i="2" s="1"/>
  <c r="K346" i="2" s="1"/>
  <c r="AP448" i="2"/>
  <c r="AE448" i="2" s="1"/>
  <c r="AE452" i="2" s="1"/>
  <c r="AG73" i="2"/>
  <c r="AE73" i="2" s="1"/>
  <c r="AE77" i="2" s="1"/>
  <c r="K71" i="2" s="1"/>
  <c r="AE373" i="2"/>
  <c r="AE377" i="2" s="1"/>
  <c r="K371" i="2" s="1"/>
  <c r="AE473" i="2"/>
  <c r="AE477" i="2" s="1"/>
  <c r="Z473" i="2" s="1"/>
  <c r="AU472" i="2" s="1"/>
  <c r="AG423" i="2"/>
  <c r="AE423" i="2" s="1"/>
  <c r="AE427" i="2" s="1"/>
  <c r="Z423" i="2" s="1"/>
  <c r="AE98" i="2"/>
  <c r="AE102" i="2" s="1"/>
  <c r="K96" i="2" s="1"/>
  <c r="AE248" i="2"/>
  <c r="AE252" i="2" s="1"/>
  <c r="AE198" i="2"/>
  <c r="AE202" i="2" s="1"/>
  <c r="K196" i="2" s="1"/>
  <c r="AE298" i="2"/>
  <c r="AE302" i="2" s="1"/>
  <c r="Z298" i="2" s="1"/>
  <c r="AE323" i="2"/>
  <c r="AE327" i="2" s="1"/>
  <c r="K321" i="2" s="1"/>
  <c r="Z173" i="2"/>
  <c r="L42" i="8"/>
  <c r="O42" i="8" s="1"/>
  <c r="L38" i="8"/>
  <c r="O38" i="8" s="1"/>
  <c r="AE398" i="2"/>
  <c r="AE402" i="2" s="1"/>
  <c r="K221" i="2"/>
  <c r="Z273" i="2" l="1"/>
  <c r="AU272" i="2" s="1"/>
  <c r="Z348" i="2"/>
  <c r="AU347" i="2" s="1"/>
  <c r="K471" i="2"/>
  <c r="Z73" i="2"/>
  <c r="AU72" i="2" s="1"/>
  <c r="Z123" i="2"/>
  <c r="AU122" i="2" s="1"/>
  <c r="Z323" i="2"/>
  <c r="F20" i="2" s="1"/>
  <c r="Z373" i="2"/>
  <c r="F22" i="2" s="1"/>
  <c r="K446" i="2"/>
  <c r="Z448" i="2"/>
  <c r="Z98" i="2"/>
  <c r="AU97" i="2" s="1"/>
  <c r="Z148" i="2"/>
  <c r="AU147" i="2" s="1"/>
  <c r="K421" i="2"/>
  <c r="K296" i="2"/>
  <c r="Z198" i="2"/>
  <c r="AU197" i="2" s="1"/>
  <c r="Z248" i="2"/>
  <c r="K246" i="2"/>
  <c r="Z48" i="2"/>
  <c r="AU47" i="2" s="1"/>
  <c r="O53" i="8"/>
  <c r="O54" i="8" s="1"/>
  <c r="O24" i="8" s="1"/>
  <c r="O26" i="8" s="1"/>
  <c r="F24" i="2"/>
  <c r="AU422" i="2"/>
  <c r="AX226" i="2"/>
  <c r="AY226" i="2" s="1"/>
  <c r="AU225" i="2"/>
  <c r="AV225" i="2" s="1"/>
  <c r="AU223" i="2"/>
  <c r="AX225" i="2"/>
  <c r="AY225" i="2" s="1"/>
  <c r="AU226" i="2"/>
  <c r="AV226" i="2" s="1"/>
  <c r="AV222" i="2"/>
  <c r="AX224" i="2"/>
  <c r="AY224" i="2" s="1"/>
  <c r="AU224" i="2"/>
  <c r="AV224" i="2" s="1"/>
  <c r="AX223" i="2"/>
  <c r="K396" i="2"/>
  <c r="Z398" i="2"/>
  <c r="AU297" i="2"/>
  <c r="F19" i="2"/>
  <c r="F18" i="2"/>
  <c r="AU172" i="2"/>
  <c r="F14" i="2"/>
  <c r="J43" i="8" s="1"/>
  <c r="T43" i="8" s="1"/>
  <c r="R43" i="8" s="1"/>
  <c r="AX476" i="2"/>
  <c r="AY476" i="2" s="1"/>
  <c r="AU474" i="2"/>
  <c r="AV474" i="2" s="1"/>
  <c r="AX475" i="2"/>
  <c r="AY475" i="2" s="1"/>
  <c r="AV472" i="2"/>
  <c r="AU473" i="2"/>
  <c r="AX474" i="2"/>
  <c r="AY474" i="2" s="1"/>
  <c r="AU476" i="2"/>
  <c r="AV476" i="2" s="1"/>
  <c r="AX473" i="2"/>
  <c r="AU475" i="2"/>
  <c r="AV475" i="2" s="1"/>
  <c r="AU372" i="2" l="1"/>
  <c r="F21" i="2"/>
  <c r="AU322" i="2"/>
  <c r="AU326" i="2" s="1"/>
  <c r="AV326" i="2" s="1"/>
  <c r="F10" i="2"/>
  <c r="J39" i="8" s="1"/>
  <c r="T39" i="8" s="1"/>
  <c r="R39" i="8" s="1"/>
  <c r="F9" i="2"/>
  <c r="F11" i="2"/>
  <c r="J40" i="8" s="1"/>
  <c r="T40" i="8" s="1"/>
  <c r="R40" i="8" s="1"/>
  <c r="F12" i="2"/>
  <c r="J41" i="8" s="1"/>
  <c r="T41" i="8" s="1"/>
  <c r="R41" i="8" s="1"/>
  <c r="F15" i="2"/>
  <c r="F16" i="2"/>
  <c r="F25" i="2"/>
  <c r="AU447" i="2"/>
  <c r="F13" i="2"/>
  <c r="J42" i="8" s="1"/>
  <c r="T42" i="8" s="1"/>
  <c r="R42" i="8" s="1"/>
  <c r="F17" i="2"/>
  <c r="AU247" i="2"/>
  <c r="AU101" i="2"/>
  <c r="AV101" i="2" s="1"/>
  <c r="AV97" i="2"/>
  <c r="AX98" i="2"/>
  <c r="AX99" i="2"/>
  <c r="AY99" i="2" s="1"/>
  <c r="AU98" i="2"/>
  <c r="AX100" i="2"/>
  <c r="AY100" i="2" s="1"/>
  <c r="AU99" i="2"/>
  <c r="AV99" i="2" s="1"/>
  <c r="AU100" i="2"/>
  <c r="AV100" i="2" s="1"/>
  <c r="AX101" i="2"/>
  <c r="AY101" i="2" s="1"/>
  <c r="AV473" i="2"/>
  <c r="AV477" i="2" s="1"/>
  <c r="K475" i="2" s="1"/>
  <c r="K476" i="2" s="1"/>
  <c r="AU477" i="2"/>
  <c r="F23" i="2"/>
  <c r="AU397" i="2"/>
  <c r="AX227" i="2"/>
  <c r="AY223" i="2"/>
  <c r="AY227" i="2" s="1"/>
  <c r="R225" i="2" s="1"/>
  <c r="R226" i="2" s="1"/>
  <c r="BR16" i="2" s="1"/>
  <c r="M16" i="2" s="1"/>
  <c r="AX150" i="2"/>
  <c r="AY150" i="2" s="1"/>
  <c r="AU148" i="2"/>
  <c r="AX151" i="2"/>
  <c r="AY151" i="2" s="1"/>
  <c r="AU149" i="2"/>
  <c r="AV149" i="2" s="1"/>
  <c r="AV147" i="2"/>
  <c r="AX148" i="2"/>
  <c r="AU150" i="2"/>
  <c r="AV150" i="2" s="1"/>
  <c r="AU151" i="2"/>
  <c r="AV151" i="2" s="1"/>
  <c r="AX149" i="2"/>
  <c r="AY149" i="2" s="1"/>
  <c r="AU273" i="2"/>
  <c r="AX274" i="2"/>
  <c r="AY274" i="2" s="1"/>
  <c r="AX275" i="2"/>
  <c r="AY275" i="2" s="1"/>
  <c r="AV272" i="2"/>
  <c r="AU276" i="2"/>
  <c r="AV276" i="2" s="1"/>
  <c r="AX273" i="2"/>
  <c r="AU274" i="2"/>
  <c r="AV274" i="2" s="1"/>
  <c r="AX276" i="2"/>
  <c r="AY276" i="2" s="1"/>
  <c r="AU275" i="2"/>
  <c r="AV275" i="2" s="1"/>
  <c r="AV347" i="2"/>
  <c r="AX348" i="2"/>
  <c r="AU349" i="2"/>
  <c r="AV349" i="2" s="1"/>
  <c r="AX350" i="2"/>
  <c r="AY350" i="2" s="1"/>
  <c r="AU348" i="2"/>
  <c r="AU351" i="2"/>
  <c r="AV351" i="2" s="1"/>
  <c r="AX351" i="2"/>
  <c r="AY351" i="2" s="1"/>
  <c r="AX349" i="2"/>
  <c r="AY349" i="2" s="1"/>
  <c r="AU350" i="2"/>
  <c r="AV350" i="2" s="1"/>
  <c r="AX300" i="2"/>
  <c r="AY300" i="2" s="1"/>
  <c r="AX299" i="2"/>
  <c r="AY299" i="2" s="1"/>
  <c r="AU298" i="2"/>
  <c r="AU300" i="2"/>
  <c r="AV300" i="2" s="1"/>
  <c r="AX298" i="2"/>
  <c r="AU301" i="2"/>
  <c r="AV301" i="2" s="1"/>
  <c r="AV297" i="2"/>
  <c r="AX301" i="2"/>
  <c r="AY301" i="2" s="1"/>
  <c r="AU299" i="2"/>
  <c r="AV299" i="2" s="1"/>
  <c r="AU425" i="2"/>
  <c r="AV425" i="2" s="1"/>
  <c r="AX424" i="2"/>
  <c r="AY424" i="2" s="1"/>
  <c r="AU423" i="2"/>
  <c r="AX426" i="2"/>
  <c r="AY426" i="2" s="1"/>
  <c r="AU426" i="2"/>
  <c r="AV426" i="2" s="1"/>
  <c r="AX423" i="2"/>
  <c r="AV422" i="2"/>
  <c r="AU424" i="2"/>
  <c r="AV424" i="2" s="1"/>
  <c r="AX425" i="2"/>
  <c r="AY425" i="2" s="1"/>
  <c r="AU76" i="2"/>
  <c r="AV76" i="2" s="1"/>
  <c r="AU74" i="2"/>
  <c r="AV74" i="2" s="1"/>
  <c r="AX74" i="2"/>
  <c r="AY74" i="2" s="1"/>
  <c r="AV72" i="2"/>
  <c r="AU75" i="2"/>
  <c r="AV75" i="2" s="1"/>
  <c r="AX73" i="2"/>
  <c r="AU73" i="2"/>
  <c r="AX76" i="2"/>
  <c r="AY76" i="2" s="1"/>
  <c r="AX75" i="2"/>
  <c r="AY75" i="2" s="1"/>
  <c r="AV47" i="2"/>
  <c r="AU48" i="2"/>
  <c r="AX51" i="2"/>
  <c r="AY51" i="2" s="1"/>
  <c r="AU49" i="2"/>
  <c r="AV49" i="2" s="1"/>
  <c r="AX50" i="2"/>
  <c r="AY50" i="2" s="1"/>
  <c r="AU51" i="2"/>
  <c r="AV51" i="2" s="1"/>
  <c r="AX48" i="2"/>
  <c r="AU50" i="2"/>
  <c r="AV50" i="2" s="1"/>
  <c r="AX49" i="2"/>
  <c r="AY49" i="2" s="1"/>
  <c r="AY473" i="2"/>
  <c r="AY477" i="2" s="1"/>
  <c r="R475" i="2" s="1"/>
  <c r="R476" i="2" s="1"/>
  <c r="AX477" i="2"/>
  <c r="AV322" i="2"/>
  <c r="AX323" i="2"/>
  <c r="AX173" i="2"/>
  <c r="AU176" i="2"/>
  <c r="AV176" i="2" s="1"/>
  <c r="AU173" i="2"/>
  <c r="AX174" i="2"/>
  <c r="AY174" i="2" s="1"/>
  <c r="AX176" i="2"/>
  <c r="AY176" i="2" s="1"/>
  <c r="AU174" i="2"/>
  <c r="AV174" i="2" s="1"/>
  <c r="AX175" i="2"/>
  <c r="AY175" i="2" s="1"/>
  <c r="AV172" i="2"/>
  <c r="AU175" i="2"/>
  <c r="AV175" i="2" s="1"/>
  <c r="AU201" i="2"/>
  <c r="AV201" i="2" s="1"/>
  <c r="AU200" i="2"/>
  <c r="AV200" i="2" s="1"/>
  <c r="AX199" i="2"/>
  <c r="AY199" i="2" s="1"/>
  <c r="AX200" i="2"/>
  <c r="AY200" i="2" s="1"/>
  <c r="AU198" i="2"/>
  <c r="AU199" i="2"/>
  <c r="AV199" i="2" s="1"/>
  <c r="AX198" i="2"/>
  <c r="AV197" i="2"/>
  <c r="AX201" i="2"/>
  <c r="AY201" i="2" s="1"/>
  <c r="AX373" i="2"/>
  <c r="AX375" i="2"/>
  <c r="AY375" i="2" s="1"/>
  <c r="AU376" i="2"/>
  <c r="AV376" i="2" s="1"/>
  <c r="AX374" i="2"/>
  <c r="AY374" i="2" s="1"/>
  <c r="AU375" i="2"/>
  <c r="AV375" i="2" s="1"/>
  <c r="AU373" i="2"/>
  <c r="AU374" i="2"/>
  <c r="AV374" i="2" s="1"/>
  <c r="AX376" i="2"/>
  <c r="AY376" i="2" s="1"/>
  <c r="AV372" i="2"/>
  <c r="AU227" i="2"/>
  <c r="AV223" i="2"/>
  <c r="AV227" i="2" s="1"/>
  <c r="K225" i="2" s="1"/>
  <c r="AX125" i="2"/>
  <c r="AY125" i="2" s="1"/>
  <c r="AU123" i="2"/>
  <c r="AX124" i="2"/>
  <c r="AY124" i="2" s="1"/>
  <c r="AU126" i="2"/>
  <c r="AV126" i="2" s="1"/>
  <c r="AU125" i="2"/>
  <c r="AV125" i="2" s="1"/>
  <c r="AX126" i="2"/>
  <c r="AY126" i="2" s="1"/>
  <c r="AU124" i="2"/>
  <c r="AV124" i="2" s="1"/>
  <c r="AX123" i="2"/>
  <c r="AV122" i="2"/>
  <c r="AX324" i="2" l="1"/>
  <c r="AY324" i="2" s="1"/>
  <c r="AX326" i="2"/>
  <c r="AY326" i="2" s="1"/>
  <c r="AU325" i="2"/>
  <c r="AV325" i="2" s="1"/>
  <c r="AX325" i="2"/>
  <c r="AY325" i="2" s="1"/>
  <c r="AU324" i="2"/>
  <c r="AV324" i="2" s="1"/>
  <c r="AU323" i="2"/>
  <c r="AU327" i="2" s="1"/>
  <c r="AU448" i="2"/>
  <c r="AV447" i="2"/>
  <c r="AX448" i="2"/>
  <c r="AX450" i="2"/>
  <c r="AY450" i="2" s="1"/>
  <c r="AX451" i="2"/>
  <c r="AY451" i="2" s="1"/>
  <c r="AX449" i="2"/>
  <c r="AY449" i="2" s="1"/>
  <c r="AU450" i="2"/>
  <c r="AV450" i="2" s="1"/>
  <c r="AU449" i="2"/>
  <c r="AV449" i="2" s="1"/>
  <c r="AU451" i="2"/>
  <c r="AV451" i="2" s="1"/>
  <c r="J38" i="8"/>
  <c r="T38" i="8" s="1"/>
  <c r="R38" i="8" s="1"/>
  <c r="R53" i="8" s="1"/>
  <c r="R54" i="8" s="1"/>
  <c r="R24" i="8" s="1"/>
  <c r="R26" i="8" s="1"/>
  <c r="AU250" i="2"/>
  <c r="AV250" i="2" s="1"/>
  <c r="AX248" i="2"/>
  <c r="AX251" i="2"/>
  <c r="AY251" i="2" s="1"/>
  <c r="AU248" i="2"/>
  <c r="AU249" i="2"/>
  <c r="AV249" i="2" s="1"/>
  <c r="AX250" i="2"/>
  <c r="AY250" i="2" s="1"/>
  <c r="AU251" i="2"/>
  <c r="AV251" i="2" s="1"/>
  <c r="AX249" i="2"/>
  <c r="AY249" i="2" s="1"/>
  <c r="AV247" i="2"/>
  <c r="AY423" i="2"/>
  <c r="AY427" i="2" s="1"/>
  <c r="R425" i="2" s="1"/>
  <c r="R426" i="2" s="1"/>
  <c r="BR24" i="2" s="1"/>
  <c r="M24" i="2" s="1"/>
  <c r="AX427" i="2"/>
  <c r="AY348" i="2"/>
  <c r="AY352" i="2" s="1"/>
  <c r="R350" i="2" s="1"/>
  <c r="R351" i="2" s="1"/>
  <c r="BR21" i="2" s="1"/>
  <c r="M21" i="2" s="1"/>
  <c r="AX352" i="2"/>
  <c r="AY123" i="2"/>
  <c r="AY127" i="2" s="1"/>
  <c r="R125" i="2" s="1"/>
  <c r="R126" i="2" s="1"/>
  <c r="BR12" i="2" s="1"/>
  <c r="M12" i="2" s="1"/>
  <c r="N41" i="8" s="1"/>
  <c r="Q41" i="8" s="1"/>
  <c r="AX127" i="2"/>
  <c r="BQ16" i="2"/>
  <c r="L16" i="2" s="1"/>
  <c r="K226" i="2"/>
  <c r="AU177" i="2"/>
  <c r="AV173" i="2"/>
  <c r="AV177" i="2" s="1"/>
  <c r="K175" i="2" s="1"/>
  <c r="AY48" i="2"/>
  <c r="AY52" i="2" s="1"/>
  <c r="R50" i="2" s="1"/>
  <c r="R51" i="2" s="1"/>
  <c r="BR9" i="2" s="1"/>
  <c r="M9" i="2" s="1"/>
  <c r="AX52" i="2"/>
  <c r="AV348" i="2"/>
  <c r="AV352" i="2" s="1"/>
  <c r="K350" i="2" s="1"/>
  <c r="AU352" i="2"/>
  <c r="AX277" i="2"/>
  <c r="AY273" i="2"/>
  <c r="AY277" i="2" s="1"/>
  <c r="R275" i="2" s="1"/>
  <c r="R276" i="2" s="1"/>
  <c r="BR18" i="2" s="1"/>
  <c r="M18" i="2" s="1"/>
  <c r="AX102" i="2"/>
  <c r="AY98" i="2"/>
  <c r="AY102" i="2" s="1"/>
  <c r="R100" i="2" s="1"/>
  <c r="R101" i="2" s="1"/>
  <c r="BR11" i="2" s="1"/>
  <c r="M11" i="2" s="1"/>
  <c r="N40" i="8" s="1"/>
  <c r="Q40" i="8" s="1"/>
  <c r="AX202" i="2"/>
  <c r="AY198" i="2"/>
  <c r="AY202" i="2" s="1"/>
  <c r="R200" i="2" s="1"/>
  <c r="R201" i="2" s="1"/>
  <c r="BR15" i="2" s="1"/>
  <c r="M15" i="2" s="1"/>
  <c r="AV298" i="2"/>
  <c r="AV302" i="2" s="1"/>
  <c r="K300" i="2" s="1"/>
  <c r="AU302" i="2"/>
  <c r="AV48" i="2"/>
  <c r="AV52" i="2" s="1"/>
  <c r="K50" i="2" s="1"/>
  <c r="AU52" i="2"/>
  <c r="AV73" i="2"/>
  <c r="AV77" i="2" s="1"/>
  <c r="K75" i="2" s="1"/>
  <c r="AU77" i="2"/>
  <c r="AY298" i="2"/>
  <c r="AY302" i="2" s="1"/>
  <c r="R300" i="2" s="1"/>
  <c r="R301" i="2" s="1"/>
  <c r="BR19" i="2" s="1"/>
  <c r="M19" i="2" s="1"/>
  <c r="AX302" i="2"/>
  <c r="AV273" i="2"/>
  <c r="AV277" i="2" s="1"/>
  <c r="K275" i="2" s="1"/>
  <c r="AU277" i="2"/>
  <c r="AX152" i="2"/>
  <c r="AY148" i="2"/>
  <c r="AY152" i="2" s="1"/>
  <c r="R150" i="2" s="1"/>
  <c r="R151" i="2" s="1"/>
  <c r="BR13" i="2" s="1"/>
  <c r="M13" i="2" s="1"/>
  <c r="AV148" i="2"/>
  <c r="AV152" i="2" s="1"/>
  <c r="K150" i="2" s="1"/>
  <c r="AU152" i="2"/>
  <c r="AV373" i="2"/>
  <c r="AV377" i="2" s="1"/>
  <c r="K375" i="2" s="1"/>
  <c r="AU377" i="2"/>
  <c r="AU202" i="2"/>
  <c r="AV198" i="2"/>
  <c r="AV202" i="2" s="1"/>
  <c r="K200" i="2" s="1"/>
  <c r="AU127" i="2"/>
  <c r="AV123" i="2"/>
  <c r="AV127" i="2" s="1"/>
  <c r="K125" i="2" s="1"/>
  <c r="AX377" i="2"/>
  <c r="AY373" i="2"/>
  <c r="AY377" i="2" s="1"/>
  <c r="R375" i="2" s="1"/>
  <c r="R376" i="2" s="1"/>
  <c r="BR22" i="2" s="1"/>
  <c r="M22" i="2" s="1"/>
  <c r="AX177" i="2"/>
  <c r="AY173" i="2"/>
  <c r="AY177" i="2" s="1"/>
  <c r="R175" i="2" s="1"/>
  <c r="R176" i="2" s="1"/>
  <c r="BR14" i="2" s="1"/>
  <c r="M14" i="2" s="1"/>
  <c r="N43" i="8" s="1"/>
  <c r="Q43" i="8" s="1"/>
  <c r="AX327" i="2"/>
  <c r="AY323" i="2"/>
  <c r="AY327" i="2" s="1"/>
  <c r="R325" i="2" s="1"/>
  <c r="R326" i="2" s="1"/>
  <c r="BR20" i="2" s="1"/>
  <c r="M20" i="2" s="1"/>
  <c r="AY73" i="2"/>
  <c r="AY77" i="2" s="1"/>
  <c r="R75" i="2" s="1"/>
  <c r="R76" i="2" s="1"/>
  <c r="BR10" i="2" s="1"/>
  <c r="M10" i="2" s="1"/>
  <c r="N39" i="8" s="1"/>
  <c r="Q39" i="8" s="1"/>
  <c r="AX77" i="2"/>
  <c r="AU427" i="2"/>
  <c r="AV423" i="2"/>
  <c r="AV427" i="2" s="1"/>
  <c r="K425" i="2" s="1"/>
  <c r="K426" i="2" s="1"/>
  <c r="AU398" i="2"/>
  <c r="AU401" i="2"/>
  <c r="AV401" i="2" s="1"/>
  <c r="AX399" i="2"/>
  <c r="AY399" i="2" s="1"/>
  <c r="AU399" i="2"/>
  <c r="AV399" i="2" s="1"/>
  <c r="AV397" i="2"/>
  <c r="AX400" i="2"/>
  <c r="AY400" i="2" s="1"/>
  <c r="AU400" i="2"/>
  <c r="AV400" i="2" s="1"/>
  <c r="AX398" i="2"/>
  <c r="AX401" i="2"/>
  <c r="AY401" i="2" s="1"/>
  <c r="AV98" i="2"/>
  <c r="AV102" i="2" s="1"/>
  <c r="K100" i="2" s="1"/>
  <c r="AU102" i="2"/>
  <c r="AV323" i="2" l="1"/>
  <c r="AV327" i="2" s="1"/>
  <c r="K325" i="2" s="1"/>
  <c r="BQ20" i="2" s="1"/>
  <c r="L20" i="2" s="1"/>
  <c r="AX452" i="2"/>
  <c r="AY448" i="2"/>
  <c r="AY452" i="2" s="1"/>
  <c r="R450" i="2" s="1"/>
  <c r="R451" i="2" s="1"/>
  <c r="BR25" i="2" s="1"/>
  <c r="M25" i="2" s="1"/>
  <c r="N49" i="8" s="1"/>
  <c r="Q49" i="8" s="1"/>
  <c r="AV448" i="2"/>
  <c r="AV452" i="2" s="1"/>
  <c r="K450" i="2" s="1"/>
  <c r="AU452" i="2"/>
  <c r="AX252" i="2"/>
  <c r="AY248" i="2"/>
  <c r="AY252" i="2" s="1"/>
  <c r="R250" i="2" s="1"/>
  <c r="R251" i="2" s="1"/>
  <c r="BR17" i="2" s="1"/>
  <c r="M17" i="2" s="1"/>
  <c r="AV248" i="2"/>
  <c r="AV252" i="2" s="1"/>
  <c r="K250" i="2" s="1"/>
  <c r="AU252" i="2"/>
  <c r="BQ11" i="2"/>
  <c r="L11" i="2" s="1"/>
  <c r="M40" i="8" s="1"/>
  <c r="P40" i="8" s="1"/>
  <c r="K101" i="2"/>
  <c r="BQ22" i="2"/>
  <c r="L22" i="2" s="1"/>
  <c r="K376" i="2"/>
  <c r="BQ9" i="2"/>
  <c r="L9" i="2" s="1"/>
  <c r="K51" i="2"/>
  <c r="K301" i="2"/>
  <c r="BQ24" i="2" s="1"/>
  <c r="L24" i="2" s="1"/>
  <c r="BQ19" i="2"/>
  <c r="L19" i="2" s="1"/>
  <c r="BQ21" i="2"/>
  <c r="L21" i="2" s="1"/>
  <c r="K351" i="2"/>
  <c r="N42" i="8"/>
  <c r="Q42" i="8" s="1"/>
  <c r="N38" i="8"/>
  <c r="Q38" i="8" s="1"/>
  <c r="BQ14" i="2"/>
  <c r="L14" i="2" s="1"/>
  <c r="M43" i="8" s="1"/>
  <c r="P43" i="8" s="1"/>
  <c r="K176" i="2"/>
  <c r="AY398" i="2"/>
  <c r="AY402" i="2" s="1"/>
  <c r="R400" i="2" s="1"/>
  <c r="R401" i="2" s="1"/>
  <c r="BR23" i="2" s="1"/>
  <c r="M23" i="2" s="1"/>
  <c r="AX402" i="2"/>
  <c r="BQ15" i="2"/>
  <c r="L15" i="2" s="1"/>
  <c r="K201" i="2"/>
  <c r="K326" i="2"/>
  <c r="BQ12" i="2"/>
  <c r="L12" i="2" s="1"/>
  <c r="M41" i="8" s="1"/>
  <c r="P41" i="8" s="1"/>
  <c r="K126" i="2"/>
  <c r="AV398" i="2"/>
  <c r="AV402" i="2" s="1"/>
  <c r="K400" i="2" s="1"/>
  <c r="AU402" i="2"/>
  <c r="K151" i="2"/>
  <c r="BQ13" i="2"/>
  <c r="L13" i="2" s="1"/>
  <c r="BQ18" i="2"/>
  <c r="L18" i="2" s="1"/>
  <c r="K276" i="2"/>
  <c r="K76" i="2"/>
  <c r="BQ10" i="2"/>
  <c r="L10" i="2" s="1"/>
  <c r="M39" i="8" s="1"/>
  <c r="P39" i="8" s="1"/>
  <c r="BQ25" i="2" l="1"/>
  <c r="L25" i="2" s="1"/>
  <c r="K451" i="2"/>
  <c r="K251" i="2"/>
  <c r="BQ17" i="2"/>
  <c r="L17" i="2" s="1"/>
  <c r="Q53" i="8"/>
  <c r="Q54" i="8" s="1"/>
  <c r="Q24" i="8" s="1"/>
  <c r="Q26" i="8" s="1"/>
  <c r="K401" i="2"/>
  <c r="BQ23" i="2"/>
  <c r="L23" i="2" s="1"/>
  <c r="M42" i="8"/>
  <c r="P42" i="8" s="1"/>
  <c r="M38" i="8"/>
  <c r="P38" i="8" s="1"/>
  <c r="P53" i="8" l="1"/>
  <c r="P54" i="8" s="1"/>
  <c r="P24" i="8" s="1"/>
  <c r="P26" i="8" s="1"/>
</calcChain>
</file>

<file path=xl/comments1.xml><?xml version="1.0" encoding="utf-8"?>
<comments xmlns="http://schemas.openxmlformats.org/spreadsheetml/2006/main">
  <authors>
    <author>Benjamin Krick</author>
  </authors>
  <commentList>
    <comment ref="H13" authorId="0" shapeId="0">
      <text>
        <r>
          <rPr>
            <sz val="9"/>
            <color indexed="81"/>
            <rFont val="Segoe UI"/>
            <family val="2"/>
          </rPr>
          <t>Max. till 2150</t>
        </r>
      </text>
    </comment>
    <comment ref="H18" authorId="0" shapeId="0">
      <text>
        <r>
          <rPr>
            <sz val="9"/>
            <color indexed="81"/>
            <rFont val="Segoe UI"/>
            <family val="2"/>
          </rPr>
          <t>Heat pump: Efficiency included in the SFP. Direct electric = resistor heater</t>
        </r>
      </text>
    </comment>
    <comment ref="O23" authorId="0" shapeId="0">
      <text>
        <r>
          <rPr>
            <sz val="9"/>
            <color indexed="81"/>
            <rFont val="Segoe UI"/>
            <family val="2"/>
          </rPr>
          <t>Please note: For machinery, plumbing and ducting, enstructin energy is also used. This may implementet in a later version of the tool.</t>
        </r>
      </text>
    </comment>
    <comment ref="O31" authorId="0" shapeId="0">
      <text>
        <r>
          <rPr>
            <sz val="9"/>
            <color indexed="81"/>
            <rFont val="Segoe UI"/>
            <family val="2"/>
          </rPr>
          <t>Please note: For machinery, plumbing and ducting, enstructin energy is also used. This may implementet in a later version of the tool.</t>
        </r>
      </text>
    </comment>
    <comment ref="O32" authorId="0" shapeId="0">
      <text>
        <r>
          <rPr>
            <sz val="9"/>
            <color indexed="81"/>
            <rFont val="Segoe UI"/>
            <family val="2"/>
          </rPr>
          <t>Please note: For machinery, plumbing and ducting, enstructin energy is also used. This may implementet in a later version of the tool.</t>
        </r>
      </text>
    </comment>
    <comment ref="O50" authorId="0" shapeId="0">
      <text>
        <r>
          <rPr>
            <sz val="9"/>
            <color indexed="81"/>
            <rFont val="Segoe UI"/>
            <family val="2"/>
          </rPr>
          <t>Please note: for aditional or reduced material in the context of thermal bridges additions or substractions to construction energy may be caused. This may be implemented in a later version of the tool.</t>
        </r>
      </text>
    </comment>
    <comment ref="O51" authorId="0" shapeId="0">
      <text>
        <r>
          <rPr>
            <sz val="9"/>
            <color indexed="81"/>
            <rFont val="Segoe UI"/>
            <family val="2"/>
          </rPr>
          <t>Please note: for aditional or reduced material in the context of thermal bridges additions or substractions to construction energy may be caused. This may be implemented in a later version of the tool.</t>
        </r>
      </text>
    </comment>
    <comment ref="O52" authorId="0" shapeId="0">
      <text>
        <r>
          <rPr>
            <sz val="9"/>
            <color indexed="81"/>
            <rFont val="Segoe UI"/>
            <family val="2"/>
          </rPr>
          <t>Please note: for aditional or reduced material in the context of thermal bridges additions or substractions to construction energy may be caused. This may be implemented in a later version of the tool.</t>
        </r>
      </text>
    </comment>
  </commentList>
</comments>
</file>

<file path=xl/comments2.xml><?xml version="1.0" encoding="utf-8"?>
<comments xmlns="http://schemas.openxmlformats.org/spreadsheetml/2006/main">
  <authors>
    <author>Benjamin Krick</author>
    <author>Passivhaus Institut</author>
  </authors>
  <commentList>
    <comment ref="F35" authorId="0" shapeId="0">
      <text>
        <r>
          <rPr>
            <sz val="9"/>
            <color indexed="81"/>
            <rFont val="Segoe UI"/>
            <family val="2"/>
          </rPr>
          <t>Count the material for manufacturing stage (choose "0" if the material is existing, e.g. wall in an retrofit, else choose "1")</t>
        </r>
      </text>
    </comment>
    <comment ref="M35" authorId="0" shapeId="0">
      <text>
        <r>
          <rPr>
            <sz val="9"/>
            <color indexed="81"/>
            <rFont val="Segoe UI"/>
            <family val="2"/>
          </rPr>
          <t>Count the material for manufacturing stage (choose "0" if the material is existing, e.g. wall in an retrofit, else choose "1")</t>
        </r>
      </text>
    </comment>
    <comment ref="T35" authorId="0" shapeId="0">
      <text>
        <r>
          <rPr>
            <sz val="9"/>
            <color indexed="81"/>
            <rFont val="Segoe UI"/>
            <family val="2"/>
          </rPr>
          <t>Count the material for manufacturing stage (choose "0" if the material is existing, e.g. wall in an retrofit, else choose "1")</t>
        </r>
      </text>
    </comment>
    <comment ref="D46" authorId="1" shapeId="0">
      <text>
        <r>
          <rPr>
            <sz val="10"/>
            <color indexed="8"/>
            <rFont val="Segoe UI"/>
            <family val="2"/>
          </rPr>
          <t>To introduce the effects of, e.g. wall anchors
substructures of curtain walls, anchored EIFS,
nails within the construction gap insulation, etc.</t>
        </r>
      </text>
    </comment>
    <comment ref="F60" authorId="0" shapeId="0">
      <text>
        <r>
          <rPr>
            <sz val="9"/>
            <color indexed="81"/>
            <rFont val="Segoe UI"/>
            <family val="2"/>
          </rPr>
          <t>Count the material for manufacturing stage (choose "0" if the material is existing, e.g. wall in an retrofit, else choose "1")</t>
        </r>
      </text>
    </comment>
    <comment ref="M60" authorId="0" shapeId="0">
      <text>
        <r>
          <rPr>
            <sz val="9"/>
            <color indexed="81"/>
            <rFont val="Segoe UI"/>
            <family val="2"/>
          </rPr>
          <t>Count the material for manufacturing stage (choose "0" if the material is existing, e.g. wall in an retrofit, else choose "1")</t>
        </r>
      </text>
    </comment>
    <comment ref="T60" authorId="0" shapeId="0">
      <text>
        <r>
          <rPr>
            <sz val="9"/>
            <color indexed="81"/>
            <rFont val="Segoe UI"/>
            <family val="2"/>
          </rPr>
          <t>Count the material for manufacturing stage (choose "0" if the material is existing, e.g. wall in an retrofit, else choose "1")</t>
        </r>
      </text>
    </comment>
    <comment ref="D71" authorId="1" shapeId="0">
      <text>
        <r>
          <rPr>
            <sz val="10"/>
            <color indexed="8"/>
            <rFont val="Segoe UI"/>
            <family val="2"/>
          </rPr>
          <t>To introduce the effects of, e.g. wall anchors
substructures of curtain walls, anchored EIFS,
nails within the construction gap insulation, etc.</t>
        </r>
      </text>
    </comment>
    <comment ref="F85" authorId="0" shapeId="0">
      <text>
        <r>
          <rPr>
            <sz val="9"/>
            <color indexed="81"/>
            <rFont val="Segoe UI"/>
            <family val="2"/>
          </rPr>
          <t>Count the material for manufacturing stage (choose "0" if the material is existing, e.g. wall in an retrofit, else choose "1")</t>
        </r>
      </text>
    </comment>
    <comment ref="M85" authorId="0" shapeId="0">
      <text>
        <r>
          <rPr>
            <sz val="9"/>
            <color indexed="81"/>
            <rFont val="Segoe UI"/>
            <family val="2"/>
          </rPr>
          <t>Count the material for manufacturing stage (choose "0" if the material is existing, e.g. wall in an retrofit, else choose "1")</t>
        </r>
      </text>
    </comment>
    <comment ref="T85" authorId="0" shapeId="0">
      <text>
        <r>
          <rPr>
            <sz val="9"/>
            <color indexed="81"/>
            <rFont val="Segoe UI"/>
            <family val="2"/>
          </rPr>
          <t>Count the material for manufacturing stage (choose "0" if the material is existing, e.g. wall in an retrofit, else choose "1")</t>
        </r>
      </text>
    </comment>
    <comment ref="D96" authorId="1" shapeId="0">
      <text>
        <r>
          <rPr>
            <sz val="10"/>
            <color indexed="8"/>
            <rFont val="Segoe UI"/>
            <family val="2"/>
          </rPr>
          <t>To introduce the effects of, e.g. wall anchors
substructures of curtain walls, anchored EIFS,
nails within the construction gap insulation, etc.</t>
        </r>
      </text>
    </comment>
    <comment ref="F110" authorId="0" shapeId="0">
      <text>
        <r>
          <rPr>
            <sz val="9"/>
            <color indexed="81"/>
            <rFont val="Segoe UI"/>
            <family val="2"/>
          </rPr>
          <t>Count the material for manufacturing stage (choose "0" if the material is existing, e.g. wall in an retrofit, else choose "1")</t>
        </r>
      </text>
    </comment>
    <comment ref="M110" authorId="0" shapeId="0">
      <text>
        <r>
          <rPr>
            <sz val="9"/>
            <color indexed="81"/>
            <rFont val="Segoe UI"/>
            <family val="2"/>
          </rPr>
          <t>Count the material for manufacturing stage (choose "0" if the material is existing, e.g. wall in an retrofit, else choose "1")</t>
        </r>
      </text>
    </comment>
    <comment ref="T110" authorId="0" shapeId="0">
      <text>
        <r>
          <rPr>
            <sz val="9"/>
            <color indexed="81"/>
            <rFont val="Segoe UI"/>
            <family val="2"/>
          </rPr>
          <t>Count the material for manufacturing stage (choose "0" if the material is existing, e.g. wall in an retrofit, else choose "1")</t>
        </r>
      </text>
    </comment>
    <comment ref="D121" authorId="1" shapeId="0">
      <text>
        <r>
          <rPr>
            <sz val="10"/>
            <color indexed="8"/>
            <rFont val="Segoe UI"/>
            <family val="2"/>
          </rPr>
          <t>To introduce the effects of, e.g. wall anchors
substructures of curtain walls, anchored EIFS,
nails within the construction gap insulation, etc.</t>
        </r>
      </text>
    </comment>
    <comment ref="F135" authorId="0" shapeId="0">
      <text>
        <r>
          <rPr>
            <sz val="9"/>
            <color indexed="81"/>
            <rFont val="Segoe UI"/>
            <family val="2"/>
          </rPr>
          <t>Count the material for manufacturing stage (choose "0" if the material is existing, e.g. wall in an retrofit, else choose "1")</t>
        </r>
      </text>
    </comment>
    <comment ref="M135" authorId="0" shapeId="0">
      <text>
        <r>
          <rPr>
            <sz val="9"/>
            <color indexed="81"/>
            <rFont val="Segoe UI"/>
            <family val="2"/>
          </rPr>
          <t>Count the material for manufacturing stage (choose "0" if the material is existing, e.g. wall in an retrofit, else choose "1")</t>
        </r>
      </text>
    </comment>
    <comment ref="T135" authorId="0" shapeId="0">
      <text>
        <r>
          <rPr>
            <sz val="9"/>
            <color indexed="81"/>
            <rFont val="Segoe UI"/>
            <family val="2"/>
          </rPr>
          <t>Count the material for manufacturing stage (choose "0" if the material is existing, e.g. wall in an retrofit, else choose "1")</t>
        </r>
      </text>
    </comment>
    <comment ref="D146" authorId="1" shapeId="0">
      <text>
        <r>
          <rPr>
            <sz val="10"/>
            <color indexed="8"/>
            <rFont val="Segoe UI"/>
            <family val="2"/>
          </rPr>
          <t>To introduce the effects of, e.g. wall anchors
substructures of curtain walls, anchored EIFS,
nails within the construction gap insulation, etc.</t>
        </r>
      </text>
    </comment>
    <comment ref="F160" authorId="0" shapeId="0">
      <text>
        <r>
          <rPr>
            <sz val="9"/>
            <color indexed="81"/>
            <rFont val="Segoe UI"/>
            <family val="2"/>
          </rPr>
          <t>Count the material for manufacturing stage (choose "0" if the material is existing, e.g. wall in an retrofit, else choose "1")</t>
        </r>
      </text>
    </comment>
    <comment ref="M160" authorId="0" shapeId="0">
      <text>
        <r>
          <rPr>
            <sz val="9"/>
            <color indexed="81"/>
            <rFont val="Segoe UI"/>
            <family val="2"/>
          </rPr>
          <t>Count the material for manufacturing stage (choose "0" if the material is existing, e.g. wall in an retrofit, else choose "1")</t>
        </r>
      </text>
    </comment>
    <comment ref="T160" authorId="0" shapeId="0">
      <text>
        <r>
          <rPr>
            <sz val="9"/>
            <color indexed="81"/>
            <rFont val="Segoe UI"/>
            <family val="2"/>
          </rPr>
          <t>Count the material for manufacturing stage (choose "0" if the material is existing, e.g. wall in an retrofit, else choose "1")</t>
        </r>
      </text>
    </comment>
    <comment ref="D171" authorId="1" shapeId="0">
      <text>
        <r>
          <rPr>
            <sz val="10"/>
            <color indexed="8"/>
            <rFont val="Segoe UI"/>
            <family val="2"/>
          </rPr>
          <t>To introduce the effects of, e.g. wall anchors
substructures of curtain walls, anchored EIFS,
nails within the construction gap insulation, etc.</t>
        </r>
      </text>
    </comment>
    <comment ref="F185" authorId="0" shapeId="0">
      <text>
        <r>
          <rPr>
            <sz val="9"/>
            <color indexed="81"/>
            <rFont val="Segoe UI"/>
            <family val="2"/>
          </rPr>
          <t>Count the material for manufacturing stage (choose "0" if the material is existing, e.g. wall in an retrofit, else choose "1")</t>
        </r>
      </text>
    </comment>
    <comment ref="M185" authorId="0" shapeId="0">
      <text>
        <r>
          <rPr>
            <sz val="9"/>
            <color indexed="81"/>
            <rFont val="Segoe UI"/>
            <family val="2"/>
          </rPr>
          <t>Count the material for manufacturing stage (choose "0" if the material is existing, e.g. wall in an retrofit, else choose "1")</t>
        </r>
      </text>
    </comment>
    <comment ref="T185" authorId="0" shapeId="0">
      <text>
        <r>
          <rPr>
            <sz val="9"/>
            <color indexed="81"/>
            <rFont val="Segoe UI"/>
            <family val="2"/>
          </rPr>
          <t>Count the material for manufacturing stage (choose "0" if the material is existing, e.g. wall in an retrofit, else choose "1")</t>
        </r>
      </text>
    </comment>
    <comment ref="D196" authorId="1" shapeId="0">
      <text>
        <r>
          <rPr>
            <sz val="10"/>
            <color indexed="8"/>
            <rFont val="Segoe UI"/>
            <family val="2"/>
          </rPr>
          <t>To introduce the effects of, e.g. wall anchors
substructures of curtain walls, anchored EIFS,
nails within the construction gap insulation, etc.</t>
        </r>
      </text>
    </comment>
    <comment ref="F210" authorId="0" shapeId="0">
      <text>
        <r>
          <rPr>
            <sz val="9"/>
            <color indexed="81"/>
            <rFont val="Segoe UI"/>
            <family val="2"/>
          </rPr>
          <t>Count the material for manufacturing stage (choose "0" if the material is existing, e.g. wall in an retrofit, else choose "1")</t>
        </r>
      </text>
    </comment>
    <comment ref="M210" authorId="0" shapeId="0">
      <text>
        <r>
          <rPr>
            <sz val="9"/>
            <color indexed="81"/>
            <rFont val="Segoe UI"/>
            <family val="2"/>
          </rPr>
          <t>Count the material for manufacturing stage (choose "0" if the material is existing, e.g. wall in an retrofit, else choose "1")</t>
        </r>
      </text>
    </comment>
    <comment ref="T210" authorId="0" shapeId="0">
      <text>
        <r>
          <rPr>
            <sz val="9"/>
            <color indexed="81"/>
            <rFont val="Segoe UI"/>
            <family val="2"/>
          </rPr>
          <t>Count the material for manufacturing stage (choose "0" if the material is existing, e.g. wall in an retrofit, else choose "1")</t>
        </r>
      </text>
    </comment>
    <comment ref="D221" authorId="1" shapeId="0">
      <text>
        <r>
          <rPr>
            <sz val="10"/>
            <color indexed="8"/>
            <rFont val="Segoe UI"/>
            <family val="2"/>
          </rPr>
          <t>To introduce the effects of, e.g. wall anchors
substructures of curtain walls, anchored EIFS,
nails within the construction gap insulation, etc.</t>
        </r>
      </text>
    </comment>
    <comment ref="F235" authorId="0" shapeId="0">
      <text>
        <r>
          <rPr>
            <sz val="9"/>
            <color indexed="81"/>
            <rFont val="Segoe UI"/>
            <family val="2"/>
          </rPr>
          <t>Count the material for manufacturing stage (choose "0" if the material is existing, e.g. wall in an retrofit, else choose "1")</t>
        </r>
      </text>
    </comment>
    <comment ref="M235" authorId="0" shapeId="0">
      <text>
        <r>
          <rPr>
            <sz val="9"/>
            <color indexed="81"/>
            <rFont val="Segoe UI"/>
            <family val="2"/>
          </rPr>
          <t>Count the material for manufacturing stage (choose "0" if the material is existing, e.g. wall in an retrofit, else choose "1")</t>
        </r>
      </text>
    </comment>
    <comment ref="T235" authorId="0" shapeId="0">
      <text>
        <r>
          <rPr>
            <sz val="9"/>
            <color indexed="81"/>
            <rFont val="Segoe UI"/>
            <family val="2"/>
          </rPr>
          <t>Count the material for manufacturing stage (choose "0" if the material is existing, e.g. wall in an retrofit, else choose "1")</t>
        </r>
      </text>
    </comment>
    <comment ref="D246" authorId="1" shapeId="0">
      <text>
        <r>
          <rPr>
            <sz val="10"/>
            <color indexed="8"/>
            <rFont val="Segoe UI"/>
            <family val="2"/>
          </rPr>
          <t>To introduce the effects of, e.g. wall anchors
substructures of curtain walls, anchored EIFS,
nails within the construction gap insulation, etc.</t>
        </r>
      </text>
    </comment>
    <comment ref="F260" authorId="0" shapeId="0">
      <text>
        <r>
          <rPr>
            <sz val="9"/>
            <color indexed="81"/>
            <rFont val="Segoe UI"/>
            <family val="2"/>
          </rPr>
          <t>Count the material for manufacturing stage (choose "0" if the material is existing, e.g. wall in an retrofit, else choose "1")</t>
        </r>
      </text>
    </comment>
    <comment ref="M260" authorId="0" shapeId="0">
      <text>
        <r>
          <rPr>
            <sz val="9"/>
            <color indexed="81"/>
            <rFont val="Segoe UI"/>
            <family val="2"/>
          </rPr>
          <t>Count the material for manufacturing stage (choose "0" if the material is existing, e.g. wall in an retrofit, else choose "1")</t>
        </r>
      </text>
    </comment>
    <comment ref="T260" authorId="0" shapeId="0">
      <text>
        <r>
          <rPr>
            <sz val="9"/>
            <color indexed="81"/>
            <rFont val="Segoe UI"/>
            <family val="2"/>
          </rPr>
          <t>Count the material for manufacturing stage (choose "0" if the material is existing, e.g. wall in an retrofit, else choose "1")</t>
        </r>
      </text>
    </comment>
    <comment ref="D271" authorId="1" shapeId="0">
      <text>
        <r>
          <rPr>
            <sz val="10"/>
            <color indexed="8"/>
            <rFont val="Segoe UI"/>
            <family val="2"/>
          </rPr>
          <t>To introduce the effects of, e.g. wall anchors
substructures of curtain walls, anchored EIFS,
nails within the construction gap insulation, etc.</t>
        </r>
      </text>
    </comment>
    <comment ref="F285" authorId="0" shapeId="0">
      <text>
        <r>
          <rPr>
            <sz val="9"/>
            <color indexed="81"/>
            <rFont val="Segoe UI"/>
            <family val="2"/>
          </rPr>
          <t>Count the material for manufacturing stage (choose "0" if the material is existing, e.g. wall in an retrofit, else choose "1")</t>
        </r>
      </text>
    </comment>
    <comment ref="M285" authorId="0" shapeId="0">
      <text>
        <r>
          <rPr>
            <sz val="9"/>
            <color indexed="81"/>
            <rFont val="Segoe UI"/>
            <family val="2"/>
          </rPr>
          <t>Count the material for manufacturing stage (choose "0" if the material is existing, e.g. wall in an retrofit, else choose "1")</t>
        </r>
      </text>
    </comment>
    <comment ref="T285" authorId="0" shapeId="0">
      <text>
        <r>
          <rPr>
            <sz val="9"/>
            <color indexed="81"/>
            <rFont val="Segoe UI"/>
            <family val="2"/>
          </rPr>
          <t>Count the material for manufacturing stage (choose "0" if the material is existing, e.g. wall in an retrofit, else choose "1")</t>
        </r>
      </text>
    </comment>
    <comment ref="D296" authorId="1" shapeId="0">
      <text>
        <r>
          <rPr>
            <sz val="10"/>
            <color indexed="8"/>
            <rFont val="Segoe UI"/>
            <family val="2"/>
          </rPr>
          <t>To introduce the effects of, e.g. wall anchors
substructures of curtain walls, anchored EIFS,
nails within the construction gap insulation, etc.</t>
        </r>
      </text>
    </comment>
    <comment ref="F310" authorId="0" shapeId="0">
      <text>
        <r>
          <rPr>
            <sz val="9"/>
            <color indexed="81"/>
            <rFont val="Segoe UI"/>
            <family val="2"/>
          </rPr>
          <t>Count the material for manufacturing stage (choose "0" if the material is existing, e.g. wall in an retrofit, else choose "1")</t>
        </r>
      </text>
    </comment>
    <comment ref="M310" authorId="0" shapeId="0">
      <text>
        <r>
          <rPr>
            <sz val="9"/>
            <color indexed="81"/>
            <rFont val="Segoe UI"/>
            <family val="2"/>
          </rPr>
          <t>Count the material for manufacturing stage (choose "0" if the material is existing, e.g. wall in an retrofit, else choose "1")</t>
        </r>
      </text>
    </comment>
    <comment ref="T310" authorId="0" shapeId="0">
      <text>
        <r>
          <rPr>
            <sz val="9"/>
            <color indexed="81"/>
            <rFont val="Segoe UI"/>
            <family val="2"/>
          </rPr>
          <t>Count the material for manufacturing stage (choose "0" if the material is existing, e.g. wall in an retrofit, else choose "1")</t>
        </r>
      </text>
    </comment>
    <comment ref="D321" authorId="1" shapeId="0">
      <text>
        <r>
          <rPr>
            <sz val="10"/>
            <color indexed="8"/>
            <rFont val="Segoe UI"/>
            <family val="2"/>
          </rPr>
          <t>To introduce the effects of, e.g. wall anchors
substructures of curtain walls, anchored EIFS,
nails within the construction gap insulation, etc.</t>
        </r>
      </text>
    </comment>
    <comment ref="F335" authorId="0" shapeId="0">
      <text>
        <r>
          <rPr>
            <sz val="9"/>
            <color indexed="81"/>
            <rFont val="Segoe UI"/>
            <family val="2"/>
          </rPr>
          <t>Count the material for manufacturing stage (choose "0" if the material is existing, e.g. wall in an retrofit, else choose "1")</t>
        </r>
      </text>
    </comment>
    <comment ref="M335" authorId="0" shapeId="0">
      <text>
        <r>
          <rPr>
            <sz val="9"/>
            <color indexed="81"/>
            <rFont val="Segoe UI"/>
            <family val="2"/>
          </rPr>
          <t>Count the material for manufacturing stage (choose "0" if the material is existing, e.g. wall in an retrofit, else choose "1")</t>
        </r>
      </text>
    </comment>
    <comment ref="T335" authorId="0" shapeId="0">
      <text>
        <r>
          <rPr>
            <sz val="9"/>
            <color indexed="81"/>
            <rFont val="Segoe UI"/>
            <family val="2"/>
          </rPr>
          <t>Count the material for manufacturing stage (choose "0" if the material is existing, e.g. wall in an retrofit, else choose "1")</t>
        </r>
      </text>
    </comment>
    <comment ref="D346" authorId="1" shapeId="0">
      <text>
        <r>
          <rPr>
            <sz val="10"/>
            <color indexed="8"/>
            <rFont val="Segoe UI"/>
            <family val="2"/>
          </rPr>
          <t>To introduce the effects of, e.g. wall anchors
substructures of curtain walls, anchored EIFS,
nails within the construction gap insulation, etc.</t>
        </r>
      </text>
    </comment>
    <comment ref="F360" authorId="0" shapeId="0">
      <text>
        <r>
          <rPr>
            <sz val="9"/>
            <color indexed="81"/>
            <rFont val="Segoe UI"/>
            <family val="2"/>
          </rPr>
          <t>Count the material for manufacturing stage (choose "0" if the material is existing, e.g. wall in an retrofit, else choose "1")</t>
        </r>
      </text>
    </comment>
    <comment ref="M360" authorId="0" shapeId="0">
      <text>
        <r>
          <rPr>
            <sz val="9"/>
            <color indexed="81"/>
            <rFont val="Segoe UI"/>
            <family val="2"/>
          </rPr>
          <t>Count the material for manufacturing stage (choose "0" if the material is existing, e.g. wall in an retrofit, else choose "1")</t>
        </r>
      </text>
    </comment>
    <comment ref="T360" authorId="0" shapeId="0">
      <text>
        <r>
          <rPr>
            <sz val="9"/>
            <color indexed="81"/>
            <rFont val="Segoe UI"/>
            <family val="2"/>
          </rPr>
          <t>Count the material for manufacturing stage (choose "0" if the material is existing, e.g. wall in an retrofit, else choose "1")</t>
        </r>
      </text>
    </comment>
    <comment ref="D371" authorId="1" shapeId="0">
      <text>
        <r>
          <rPr>
            <sz val="10"/>
            <color indexed="8"/>
            <rFont val="Segoe UI"/>
            <family val="2"/>
          </rPr>
          <t>To introduce the effects of, e.g. wall anchors
substructures of curtain walls, anchored EIFS,
nails within the construction gap insulation, etc.</t>
        </r>
      </text>
    </comment>
    <comment ref="F385" authorId="0" shapeId="0">
      <text>
        <r>
          <rPr>
            <sz val="9"/>
            <color indexed="81"/>
            <rFont val="Segoe UI"/>
            <family val="2"/>
          </rPr>
          <t>Count the material for manufacturing stage (choose "0" if the material is existing, e.g. wall in an retrofit, else choose "1")</t>
        </r>
      </text>
    </comment>
    <comment ref="M385" authorId="0" shapeId="0">
      <text>
        <r>
          <rPr>
            <sz val="9"/>
            <color indexed="81"/>
            <rFont val="Segoe UI"/>
            <family val="2"/>
          </rPr>
          <t>Count the material for manufacturing stage (choose "0" if the material is existing, e.g. wall in an retrofit, else choose "1")</t>
        </r>
      </text>
    </comment>
    <comment ref="T385" authorId="0" shapeId="0">
      <text>
        <r>
          <rPr>
            <sz val="9"/>
            <color indexed="81"/>
            <rFont val="Segoe UI"/>
            <family val="2"/>
          </rPr>
          <t>Count the material for manufacturing stage (choose "0" if the material is existing, e.g. wall in an retrofit, else choose "1")</t>
        </r>
      </text>
    </comment>
    <comment ref="D396" authorId="1" shapeId="0">
      <text>
        <r>
          <rPr>
            <sz val="10"/>
            <color indexed="8"/>
            <rFont val="Segoe UI"/>
            <family val="2"/>
          </rPr>
          <t>To introduce the effects of, e.g. wall anchors
substructures of curtain walls, anchored EIFS,
nails within the construction gap insulation, etc.</t>
        </r>
      </text>
    </comment>
    <comment ref="F410" authorId="0" shapeId="0">
      <text>
        <r>
          <rPr>
            <sz val="9"/>
            <color indexed="81"/>
            <rFont val="Segoe UI"/>
            <family val="2"/>
          </rPr>
          <t>Count the material for manufacturing stage (choose "0" if the material is existing, e.g. wall in an retrofit, else choose "1")</t>
        </r>
      </text>
    </comment>
    <comment ref="M410" authorId="0" shapeId="0">
      <text>
        <r>
          <rPr>
            <sz val="9"/>
            <color indexed="81"/>
            <rFont val="Segoe UI"/>
            <family val="2"/>
          </rPr>
          <t>Count the material for manufacturing stage (choose "0" if the material is existing, e.g. wall in an retrofit, else choose "1")</t>
        </r>
      </text>
    </comment>
    <comment ref="T410" authorId="0" shapeId="0">
      <text>
        <r>
          <rPr>
            <sz val="9"/>
            <color indexed="81"/>
            <rFont val="Segoe UI"/>
            <family val="2"/>
          </rPr>
          <t>Count the material for manufacturing stage (choose "0" if the material is existing, e.g. wall in an retrofit, else choose "1")</t>
        </r>
      </text>
    </comment>
    <comment ref="D421" authorId="1" shapeId="0">
      <text>
        <r>
          <rPr>
            <sz val="10"/>
            <color indexed="8"/>
            <rFont val="Segoe UI"/>
            <family val="2"/>
          </rPr>
          <t>To introduce the effects of, e.g. wall anchors
substructures of curtain walls, anchored EIFS,
nails within the construction gap insulation, etc.</t>
        </r>
      </text>
    </comment>
    <comment ref="F435" authorId="0" shapeId="0">
      <text>
        <r>
          <rPr>
            <sz val="9"/>
            <color indexed="81"/>
            <rFont val="Segoe UI"/>
            <family val="2"/>
          </rPr>
          <t>Count the material for manufacturing stage (choose "0" if the material is existing, e.g. wall in an retrofit, else choose "1")</t>
        </r>
      </text>
    </comment>
    <comment ref="M435" authorId="0" shapeId="0">
      <text>
        <r>
          <rPr>
            <sz val="9"/>
            <color indexed="81"/>
            <rFont val="Segoe UI"/>
            <family val="2"/>
          </rPr>
          <t>Count the material for manufacturing stage (choose "0" if the material is existing, e.g. wall in an retrofit, else choose "1")</t>
        </r>
      </text>
    </comment>
    <comment ref="T435" authorId="0" shapeId="0">
      <text>
        <r>
          <rPr>
            <sz val="9"/>
            <color indexed="81"/>
            <rFont val="Segoe UI"/>
            <family val="2"/>
          </rPr>
          <t>Count the material for manufacturing stage (choose "0" if the material is existing, e.g. wall in an retrofit, else choose "1")</t>
        </r>
      </text>
    </comment>
    <comment ref="D446" authorId="1" shapeId="0">
      <text>
        <r>
          <rPr>
            <sz val="10"/>
            <color indexed="8"/>
            <rFont val="Segoe UI"/>
            <family val="2"/>
          </rPr>
          <t>To introduce the effects of, e.g. wall anchors
substructures of curtain walls, anchored EIFS,
nails within the construction gap insulation, etc.</t>
        </r>
      </text>
    </comment>
    <comment ref="F460" authorId="0" shapeId="0">
      <text>
        <r>
          <rPr>
            <sz val="9"/>
            <color indexed="81"/>
            <rFont val="Segoe UI"/>
            <family val="2"/>
          </rPr>
          <t>Count the material for manufacturing stage (choose "0" if the material is existing, e.g. wall in an retrofit, else choose "1")</t>
        </r>
      </text>
    </comment>
    <comment ref="M460" authorId="0" shapeId="0">
      <text>
        <r>
          <rPr>
            <sz val="9"/>
            <color indexed="81"/>
            <rFont val="Segoe UI"/>
            <family val="2"/>
          </rPr>
          <t>Count the material for manufacturing stage (choose "0" if the material is existing, e.g. wall in an retrofit, else choose "1")</t>
        </r>
      </text>
    </comment>
    <comment ref="T460" authorId="0" shapeId="0">
      <text>
        <r>
          <rPr>
            <sz val="9"/>
            <color indexed="81"/>
            <rFont val="Segoe UI"/>
            <family val="2"/>
          </rPr>
          <t>Count the material for manufacturing stage (choose "0" if the material is existing, e.g. wall in an retrofit, else choose "1")</t>
        </r>
      </text>
    </comment>
    <comment ref="D471" authorId="1" shapeId="0">
      <text>
        <r>
          <rPr>
            <sz val="10"/>
            <color indexed="8"/>
            <rFont val="Segoe UI"/>
            <family val="2"/>
          </rPr>
          <t>To introduce the effects of, e.g. wall anchors
substructures of curtain walls, anchored EIFS,
nails within the construction gap insulation, etc.</t>
        </r>
      </text>
    </comment>
    <comment ref="F485" authorId="0" shapeId="0">
      <text>
        <r>
          <rPr>
            <sz val="9"/>
            <color indexed="81"/>
            <rFont val="Segoe UI"/>
            <family val="2"/>
          </rPr>
          <t>Count the material for manufacturing stage (choose "0" if the material is existing, e.g. wall in an retrofit, else choose "1")</t>
        </r>
      </text>
    </comment>
    <comment ref="M485" authorId="0" shapeId="0">
      <text>
        <r>
          <rPr>
            <sz val="9"/>
            <color indexed="81"/>
            <rFont val="Segoe UI"/>
            <family val="2"/>
          </rPr>
          <t>Count the material for manufacturing stage (choose "0" if the material is existing, e.g. wall in an retrofit, else choose "1")</t>
        </r>
      </text>
    </comment>
    <comment ref="T485" authorId="0" shapeId="0">
      <text>
        <r>
          <rPr>
            <sz val="9"/>
            <color indexed="81"/>
            <rFont val="Segoe UI"/>
            <family val="2"/>
          </rPr>
          <t>Count the material for manufacturing stage (choose "0" if the material is existing, e.g. wall in an retrofit, else choose "1")</t>
        </r>
      </text>
    </comment>
    <comment ref="D496" authorId="1" shapeId="0">
      <text>
        <r>
          <rPr>
            <sz val="10"/>
            <color indexed="8"/>
            <rFont val="Segoe UI"/>
            <family val="2"/>
          </rPr>
          <t>To introduce the effects of, e.g. wall anchors
substructures of curtain walls, anchored EIFS,
nails within the construction gap insulation, etc.</t>
        </r>
      </text>
    </comment>
  </commentList>
</comments>
</file>

<file path=xl/comments3.xml><?xml version="1.0" encoding="utf-8"?>
<comments xmlns="http://schemas.openxmlformats.org/spreadsheetml/2006/main">
  <authors>
    <author>Benjamin Krick</author>
  </authors>
  <commentList>
    <comment ref="I14" authorId="0" shapeId="0">
      <text>
        <r>
          <rPr>
            <sz val="9"/>
            <color indexed="81"/>
            <rFont val="Segoe UI"/>
            <family val="2"/>
          </rPr>
          <t>If in your pane is more glass than in the reference glazing. If less glazing, put in negative values.</t>
        </r>
      </text>
    </comment>
    <comment ref="J78" authorId="0" shapeId="0">
      <text>
        <r>
          <rPr>
            <sz val="9"/>
            <color indexed="81"/>
            <rFont val="Segoe UI"/>
            <family val="2"/>
          </rPr>
          <t>Factor representing aditional energy for producing thre window out of the raw material</t>
        </r>
      </text>
    </comment>
    <comment ref="J94" authorId="0" shapeId="0">
      <text>
        <r>
          <rPr>
            <sz val="9"/>
            <color indexed="81"/>
            <rFont val="Segoe UI"/>
            <family val="2"/>
          </rPr>
          <t>Factor representing aditional energy for producing thre window out of the raw material</t>
        </r>
      </text>
    </comment>
    <comment ref="J110" authorId="0" shapeId="0">
      <text>
        <r>
          <rPr>
            <sz val="9"/>
            <color indexed="81"/>
            <rFont val="Segoe UI"/>
            <family val="2"/>
          </rPr>
          <t>Factor representing aditional energy for producing thre window out of the raw material</t>
        </r>
      </text>
    </comment>
    <comment ref="J126" authorId="0" shapeId="0">
      <text>
        <r>
          <rPr>
            <sz val="9"/>
            <color indexed="81"/>
            <rFont val="Segoe UI"/>
            <family val="2"/>
          </rPr>
          <t>Factor representing aditional energy for producing thre window out of the raw material</t>
        </r>
      </text>
    </comment>
    <comment ref="J142" authorId="0" shapeId="0">
      <text>
        <r>
          <rPr>
            <sz val="9"/>
            <color indexed="81"/>
            <rFont val="Segoe UI"/>
            <family val="2"/>
          </rPr>
          <t>Factor representing aditional energy for producing thre window out of the raw material</t>
        </r>
      </text>
    </comment>
    <comment ref="J158" authorId="0" shapeId="0">
      <text>
        <r>
          <rPr>
            <sz val="9"/>
            <color indexed="81"/>
            <rFont val="Segoe UI"/>
            <family val="2"/>
          </rPr>
          <t>Factor representing aditional energy for producing thre window out of the raw material</t>
        </r>
      </text>
    </comment>
    <comment ref="J174" authorId="0" shapeId="0">
      <text>
        <r>
          <rPr>
            <sz val="9"/>
            <color indexed="81"/>
            <rFont val="Segoe UI"/>
            <family val="2"/>
          </rPr>
          <t>Factor representing aditional energy for producing thre window out of the raw material</t>
        </r>
      </text>
    </comment>
    <comment ref="J190" authorId="0" shapeId="0">
      <text>
        <r>
          <rPr>
            <sz val="9"/>
            <color indexed="81"/>
            <rFont val="Segoe UI"/>
            <family val="2"/>
          </rPr>
          <t>Factor representing aditional energy for producing thre window out of the raw material</t>
        </r>
      </text>
    </comment>
    <comment ref="J206" authorId="0" shapeId="0">
      <text>
        <r>
          <rPr>
            <sz val="9"/>
            <color indexed="81"/>
            <rFont val="Segoe UI"/>
            <family val="2"/>
          </rPr>
          <t>Factor representing aditional energy for producing thre window out of the raw material</t>
        </r>
      </text>
    </comment>
    <comment ref="J222" authorId="0" shapeId="0">
      <text>
        <r>
          <rPr>
            <sz val="9"/>
            <color indexed="81"/>
            <rFont val="Segoe UI"/>
            <family val="2"/>
          </rPr>
          <t>Factor representing aditional energy for producing thre window out of the raw material</t>
        </r>
      </text>
    </comment>
    <comment ref="J238" authorId="0" shapeId="0">
      <text>
        <r>
          <rPr>
            <sz val="9"/>
            <color indexed="81"/>
            <rFont val="Segoe UI"/>
            <family val="2"/>
          </rPr>
          <t>Factor representing aditional energy for producing thre window out of the raw material</t>
        </r>
      </text>
    </comment>
    <comment ref="J254" authorId="0" shapeId="0">
      <text>
        <r>
          <rPr>
            <sz val="9"/>
            <color indexed="81"/>
            <rFont val="Segoe UI"/>
            <family val="2"/>
          </rPr>
          <t>Factor representing aditional energy for producing thre window out of the raw material</t>
        </r>
      </text>
    </comment>
    <comment ref="J270" authorId="0" shapeId="0">
      <text>
        <r>
          <rPr>
            <sz val="9"/>
            <color indexed="81"/>
            <rFont val="Segoe UI"/>
            <family val="2"/>
          </rPr>
          <t>Factor representing aditional energy for producing thre window out of the raw material</t>
        </r>
      </text>
    </comment>
    <comment ref="J286" authorId="0" shapeId="0">
      <text>
        <r>
          <rPr>
            <sz val="9"/>
            <color indexed="81"/>
            <rFont val="Segoe UI"/>
            <family val="2"/>
          </rPr>
          <t>Factor representing aditional energy for producing thre window out of the raw material</t>
        </r>
      </text>
    </comment>
  </commentList>
</comments>
</file>

<file path=xl/comments4.xml><?xml version="1.0" encoding="utf-8"?>
<comments xmlns="http://schemas.openxmlformats.org/spreadsheetml/2006/main">
  <authors>
    <author>Benjamin Krick</author>
  </authors>
  <commentList>
    <comment ref="M9" authorId="0" shapeId="0">
      <text>
        <r>
          <rPr>
            <sz val="9"/>
            <color indexed="81"/>
            <rFont val="Segoe UI"/>
            <family val="2"/>
          </rPr>
          <t>Input, if Unit = "qm"</t>
        </r>
      </text>
    </comment>
    <comment ref="P9" authorId="0" shapeId="0">
      <text>
        <r>
          <rPr>
            <sz val="9"/>
            <color indexed="81"/>
            <rFont val="Segoe UI"/>
            <family val="2"/>
          </rPr>
          <t>Input if Unit = "kg"</t>
        </r>
      </text>
    </comment>
  </commentList>
</comments>
</file>

<file path=xl/comments5.xml><?xml version="1.0" encoding="utf-8"?>
<comments xmlns="http://schemas.openxmlformats.org/spreadsheetml/2006/main">
  <authors>
    <author>Morgane Picot</author>
  </authors>
  <commentList>
    <comment ref="S80" authorId="0" shapeId="0">
      <text>
        <r>
          <rPr>
            <b/>
            <sz val="9"/>
            <color indexed="81"/>
            <rFont val="Tahoma"/>
            <family val="2"/>
          </rPr>
          <t>Morgane Picot:</t>
        </r>
        <r>
          <rPr>
            <sz val="9"/>
            <color indexed="81"/>
            <rFont val="Tahoma"/>
            <family val="2"/>
          </rPr>
          <t xml:space="preserve">
average from range 0,032-0,05</t>
        </r>
      </text>
    </comment>
    <comment ref="X85" authorId="0" shapeId="0">
      <text>
        <r>
          <rPr>
            <b/>
            <sz val="9"/>
            <color indexed="81"/>
            <rFont val="Tahoma"/>
            <family val="2"/>
          </rPr>
          <t>Morgane Picot:</t>
        </r>
        <r>
          <rPr>
            <sz val="9"/>
            <color indexed="81"/>
            <rFont val="Tahoma"/>
            <family val="2"/>
          </rPr>
          <t xml:space="preserve">
average from range 580-640
</t>
        </r>
      </text>
    </comment>
    <comment ref="Z85" authorId="0" shapeId="0">
      <text>
        <r>
          <rPr>
            <b/>
            <sz val="9"/>
            <color indexed="81"/>
            <rFont val="Tahoma"/>
            <family val="2"/>
          </rPr>
          <t>Morgane Picot:</t>
        </r>
        <r>
          <rPr>
            <sz val="9"/>
            <color indexed="81"/>
            <rFont val="Tahoma"/>
            <family val="2"/>
          </rPr>
          <t xml:space="preserve">
average from range 580-640
</t>
        </r>
      </text>
    </comment>
  </commentList>
</comments>
</file>

<file path=xl/sharedStrings.xml><?xml version="1.0" encoding="utf-8"?>
<sst xmlns="http://schemas.openxmlformats.org/spreadsheetml/2006/main" count="4340" uniqueCount="1242">
  <si>
    <t>U-Wert Berechnung homogener Bauteile</t>
  </si>
  <si>
    <t>Wärmeübergangswiderstand [m²K/W]</t>
  </si>
  <si>
    <r>
      <t xml:space="preserve">       innen R</t>
    </r>
    <r>
      <rPr>
        <vertAlign val="subscript"/>
        <sz val="8"/>
        <rFont val="Arial"/>
        <family val="2"/>
      </rPr>
      <t>si</t>
    </r>
    <r>
      <rPr>
        <sz val="8"/>
        <rFont val="Arial"/>
        <family val="2"/>
      </rPr>
      <t xml:space="preserve"> </t>
    </r>
  </si>
  <si>
    <r>
      <t>außen R</t>
    </r>
    <r>
      <rPr>
        <vertAlign val="subscript"/>
        <sz val="8"/>
        <rFont val="Arial"/>
        <family val="2"/>
      </rPr>
      <t>sa</t>
    </r>
    <r>
      <rPr>
        <sz val="8"/>
        <rFont val="Arial"/>
        <family val="2"/>
      </rPr>
      <t xml:space="preserve"> </t>
    </r>
  </si>
  <si>
    <t>Baustoff</t>
  </si>
  <si>
    <r>
      <t>l</t>
    </r>
    <r>
      <rPr>
        <sz val="6"/>
        <rFont val="Arial"/>
        <family val="2"/>
      </rPr>
      <t xml:space="preserve"> [W/(mK)]</t>
    </r>
  </si>
  <si>
    <t>Dicke [mm]</t>
  </si>
  <si>
    <t>Summe</t>
  </si>
  <si>
    <t>cm</t>
  </si>
  <si>
    <t>U-Wert:</t>
  </si>
  <si>
    <t>W/(m²K)</t>
  </si>
  <si>
    <t>Wärmeübergangswiderstände</t>
  </si>
  <si>
    <t>Innen</t>
  </si>
  <si>
    <t>Wand</t>
  </si>
  <si>
    <t>Dach</t>
  </si>
  <si>
    <t>Boden</t>
  </si>
  <si>
    <t>Außen</t>
  </si>
  <si>
    <t>Außenluft</t>
  </si>
  <si>
    <t>Hinterlüftet Wand</t>
  </si>
  <si>
    <t>Hinterlüftet Dach</t>
  </si>
  <si>
    <t>Bauteil</t>
  </si>
  <si>
    <t>[m²K/W]</t>
  </si>
  <si>
    <t>Wärmeleitfähigkeiten</t>
  </si>
  <si>
    <r>
      <t>l</t>
    </r>
    <r>
      <rPr>
        <sz val="11"/>
        <rFont val="Arial"/>
        <family val="2"/>
      </rPr>
      <t xml:space="preserve"> [W/(mK)]</t>
    </r>
  </si>
  <si>
    <t>Gipsputz</t>
  </si>
  <si>
    <t>Kalkzementputz</t>
  </si>
  <si>
    <t>Kalksandstein</t>
  </si>
  <si>
    <t>Aluminium</t>
  </si>
  <si>
    <t>Polystyrol (grau)</t>
  </si>
  <si>
    <t>Zellulose</t>
  </si>
  <si>
    <t>Holzweichfaserplatte</t>
  </si>
  <si>
    <t>Nadelholz</t>
  </si>
  <si>
    <t>Resolharz</t>
  </si>
  <si>
    <t>Aufgaben</t>
  </si>
  <si>
    <t>1.</t>
  </si>
  <si>
    <t>2.</t>
  </si>
  <si>
    <t>Geben Sie die Wärmeübergangswiderstände für eine nicht hinterlüftete Außenwand ein.</t>
  </si>
  <si>
    <t>3.</t>
  </si>
  <si>
    <t>Spielen Sie mit den Baustoffen: Nehmen Sie an, Ihre Wand hat eine einzige Schicht.</t>
  </si>
  <si>
    <t>Bei welchen Schichtdicken erreuchen Sie U = 0,15 W/(m²K)? Tragen Sie die Ergebnisse in die Tabelle ein.</t>
  </si>
  <si>
    <t>[m]</t>
  </si>
  <si>
    <t>Implementieren Sie die Formel zur Berechnung des U-Wertes für homogene Bauteile mit einer Schicht in Zelle E16</t>
  </si>
  <si>
    <t>Hinweise: Testen Sie zunächst mit Polystyrol (grau). Die Schichtdicke muss 208 mm betragen</t>
  </si>
  <si>
    <t>RT</t>
  </si>
  <si>
    <t>4.</t>
  </si>
  <si>
    <t>Porenbeton</t>
  </si>
  <si>
    <t xml:space="preserve">Verknüpfen Sie nun Zelle E16 mit Zelle F17, indem Sie in Zelle E17 "=F17" schreiben. </t>
  </si>
  <si>
    <t>In dieser Zelle wird der U-Wert für homogene Bauteile mit mehreren Schichten berechnet.</t>
  </si>
  <si>
    <t>5.</t>
  </si>
  <si>
    <t>Spielen Sie nun mit unterschiedlichen Materialkombinationen und Schichtdicken. Finden Sie heraus:</t>
  </si>
  <si>
    <t>a) Welchen Einfluss haben die Wärmeübergangswiderstände bei hoch dämmenden und wenig dämmenden Konstruktionen</t>
  </si>
  <si>
    <t>b) Wie dick muss eine Porenbetonwand mit Außen- und Innenputz (je 15 mm) bei U= 0,15 W/(m²K) sein</t>
  </si>
  <si>
    <t xml:space="preserve">Transmissionswärmeverluste in Abhängigkeit von U-Wert und Klima </t>
  </si>
  <si>
    <t>U-Wert</t>
  </si>
  <si>
    <t>Bauteilfläche a</t>
  </si>
  <si>
    <r>
      <t>Temperaturkorrekturfaktor b</t>
    </r>
    <r>
      <rPr>
        <vertAlign val="subscript"/>
        <sz val="11"/>
        <color theme="1"/>
        <rFont val="Calibri"/>
        <family val="2"/>
        <scheme val="minor"/>
      </rPr>
      <t>t</t>
    </r>
  </si>
  <si>
    <t>Heizgradstunden Gt</t>
  </si>
  <si>
    <t>Transmissionswärmeverlust Qt</t>
  </si>
  <si>
    <t>m²</t>
  </si>
  <si>
    <t>kKh/a</t>
  </si>
  <si>
    <t>kWh/(m²a)</t>
  </si>
  <si>
    <t>Implementieren Sie die Formel für den Transmissionswärmeverlust in Zelle D45.</t>
  </si>
  <si>
    <t>Fall</t>
  </si>
  <si>
    <t>Temperaturkorrekturfaktoren</t>
  </si>
  <si>
    <t>Spielen Sie mit Temperaturkorrekturfaktoren und Klimaten.</t>
  </si>
  <si>
    <t>Faktor</t>
  </si>
  <si>
    <t>Erdreich</t>
  </si>
  <si>
    <t>Frankfurt/Main</t>
  </si>
  <si>
    <t>Standort</t>
  </si>
  <si>
    <t>Gradtagzahlen</t>
  </si>
  <si>
    <t>Gt</t>
  </si>
  <si>
    <t>Freiburg</t>
  </si>
  <si>
    <t>Hof</t>
  </si>
  <si>
    <t>Rom</t>
  </si>
  <si>
    <t>Potsdam (EnEV)</t>
  </si>
  <si>
    <t>Kiruna (Schweden)</t>
  </si>
  <si>
    <t>3. Wandstärken bei 0,15 W/(m²K)</t>
  </si>
  <si>
    <t>Kalksandstein (KS)</t>
  </si>
  <si>
    <t>c) Wie dick muss eine KS-Wand (175 mm) mit Außen- und Innenputz (je 15 mm) und PS-Dämmung bei U= 0,15 W/(m²K) sein</t>
  </si>
  <si>
    <t>d) Wie dick muss eine KS-Wand (175 mm) mit Außen- und Innenputz (je 15 mm) und Resol Dämmung bei U= 0,15 W/(m²K) sein</t>
  </si>
  <si>
    <t>Lebenszykluskosten von Außenwanddämmungen</t>
  </si>
  <si>
    <t>Kosten</t>
  </si>
  <si>
    <t>Material</t>
  </si>
  <si>
    <t>€/(cm*m²)</t>
  </si>
  <si>
    <t>Weitere K0sten</t>
  </si>
  <si>
    <t>EPS 040</t>
  </si>
  <si>
    <t>EPS NEO 035</t>
  </si>
  <si>
    <t>EPS NEO 032</t>
  </si>
  <si>
    <t>Resol 021</t>
  </si>
  <si>
    <t>Stone wool 035</t>
  </si>
  <si>
    <t>Wood fib. 040</t>
  </si>
  <si>
    <t>Kosten Dämmstoff</t>
  </si>
  <si>
    <t>Gesamtkosten</t>
  </si>
  <si>
    <t>Jahre</t>
  </si>
  <si>
    <t>Realzins</t>
  </si>
  <si>
    <t>€/kWh</t>
  </si>
  <si>
    <t>Dämmstärke</t>
  </si>
  <si>
    <t>mm</t>
  </si>
  <si>
    <t>€/m²</t>
  </si>
  <si>
    <r>
      <t>Invest K</t>
    </r>
    <r>
      <rPr>
        <b/>
        <vertAlign val="subscript"/>
        <sz val="11"/>
        <color theme="1"/>
        <rFont val="Calibri"/>
        <family val="2"/>
        <scheme val="minor"/>
      </rPr>
      <t>i</t>
    </r>
  </si>
  <si>
    <r>
      <t>Wärmekosten K</t>
    </r>
    <r>
      <rPr>
        <b/>
        <vertAlign val="subscript"/>
        <sz val="11"/>
        <color theme="1"/>
        <rFont val="Calibri"/>
        <family val="2"/>
        <scheme val="minor"/>
      </rPr>
      <t>e</t>
    </r>
  </si>
  <si>
    <r>
      <t>Nutzungsdauer t</t>
    </r>
    <r>
      <rPr>
        <vertAlign val="subscript"/>
        <sz val="11"/>
        <color theme="1"/>
        <rFont val="Calibri"/>
        <family val="2"/>
        <scheme val="minor"/>
      </rPr>
      <t>B</t>
    </r>
  </si>
  <si>
    <t>KS</t>
  </si>
  <si>
    <t>WD</t>
  </si>
  <si>
    <t>Kalkputz</t>
  </si>
  <si>
    <r>
      <t>Lebenszyklusk. K</t>
    </r>
    <r>
      <rPr>
        <b/>
        <vertAlign val="subscript"/>
        <sz val="11"/>
        <color theme="1"/>
        <rFont val="Calibri"/>
        <family val="2"/>
        <scheme val="minor"/>
      </rPr>
      <t>0</t>
    </r>
  </si>
  <si>
    <t>Wärmepreis Pw</t>
  </si>
  <si>
    <t>Übertragen Sie die Daten für Dämmstoffkosten, Nutzungsdauer, Realzins, Klima und Wärmepreis in die entsprechenden Felder.</t>
  </si>
  <si>
    <r>
      <t>Programmieren Sie die Formeln für K</t>
    </r>
    <r>
      <rPr>
        <vertAlign val="subscript"/>
        <sz val="11"/>
        <color theme="1"/>
        <rFont val="Calibri"/>
        <family val="2"/>
        <scheme val="minor"/>
      </rPr>
      <t>i</t>
    </r>
    <r>
      <rPr>
        <sz val="11"/>
        <color theme="1"/>
        <rFont val="Calibri"/>
        <family val="2"/>
        <scheme val="minor"/>
      </rPr>
      <t>, K</t>
    </r>
    <r>
      <rPr>
        <vertAlign val="subscript"/>
        <sz val="11"/>
        <color theme="1"/>
        <rFont val="Calibri"/>
        <family val="2"/>
        <scheme val="minor"/>
      </rPr>
      <t>e</t>
    </r>
    <r>
      <rPr>
        <sz val="11"/>
        <color theme="1"/>
        <rFont val="Calibri"/>
        <family val="2"/>
        <scheme val="minor"/>
      </rPr>
      <t xml:space="preserve"> und K</t>
    </r>
    <r>
      <rPr>
        <vertAlign val="subscript"/>
        <sz val="11"/>
        <color theme="1"/>
        <rFont val="Calibri"/>
        <family val="2"/>
        <scheme val="minor"/>
      </rPr>
      <t>0</t>
    </r>
    <r>
      <rPr>
        <sz val="11"/>
        <color theme="1"/>
        <rFont val="Calibri"/>
        <family val="2"/>
        <scheme val="minor"/>
      </rPr>
      <t xml:space="preserve"> in die entsprechenden Zellen</t>
    </r>
  </si>
  <si>
    <t>Berechnen Sie mit dem obigen U-Wert Rechner die U-Werte für die entsprechenden Dämmstärken und tragen Sie sie ein.</t>
  </si>
  <si>
    <t>Lesen Sie im Diagramm bzw. in der Tabelle ab: Bei welchem U-Wert wird das ökonomische Optimum erreicht?</t>
  </si>
  <si>
    <t>Für zu Hause: Ermitteln Sie das ökonomische Optimum für 2 weitere Dämmstoffe</t>
  </si>
  <si>
    <r>
      <t>Barwertfaktor B</t>
    </r>
    <r>
      <rPr>
        <vertAlign val="subscript"/>
        <sz val="11"/>
        <color theme="1"/>
        <rFont val="Calibri"/>
        <family val="2"/>
        <scheme val="minor"/>
      </rPr>
      <t>B</t>
    </r>
  </si>
  <si>
    <r>
      <t>Heizgradstunden G</t>
    </r>
    <r>
      <rPr>
        <vertAlign val="subscript"/>
        <sz val="11"/>
        <color theme="1"/>
        <rFont val="Calibri"/>
        <family val="2"/>
        <scheme val="minor"/>
      </rPr>
      <t>t</t>
    </r>
  </si>
  <si>
    <t>Nebenrechnung:</t>
  </si>
  <si>
    <t>Obere Abschätzung für R</t>
  </si>
  <si>
    <t>Untere Abschätzung für R</t>
  </si>
  <si>
    <r>
      <t>d</t>
    </r>
    <r>
      <rPr>
        <sz val="12"/>
        <rFont val="Symbol"/>
        <family val="1"/>
        <charset val="2"/>
      </rPr>
      <t>/l</t>
    </r>
  </si>
  <si>
    <t>l</t>
  </si>
  <si>
    <t>Anteil Teilflächen</t>
  </si>
  <si>
    <t>Teilfl. 1</t>
  </si>
  <si>
    <t>Teilfl. 2</t>
  </si>
  <si>
    <t>Teilfl. 3</t>
  </si>
  <si>
    <r>
      <t>R</t>
    </r>
    <r>
      <rPr>
        <i/>
        <vertAlign val="subscript"/>
        <sz val="8"/>
        <rFont val="Arial"/>
        <family val="2"/>
      </rPr>
      <t>Schicht</t>
    </r>
  </si>
  <si>
    <r>
      <t>1/R</t>
    </r>
    <r>
      <rPr>
        <i/>
        <vertAlign val="subscript"/>
        <sz val="8"/>
        <rFont val="Arial"/>
        <family val="2"/>
      </rPr>
      <t>Teilfläche</t>
    </r>
  </si>
  <si>
    <t>Flächenanteil</t>
  </si>
  <si>
    <r>
      <t>R</t>
    </r>
    <r>
      <rPr>
        <vertAlign val="subscript"/>
        <sz val="10"/>
        <rFont val="Arial"/>
        <family val="2"/>
      </rPr>
      <t>T</t>
    </r>
  </si>
  <si>
    <r>
      <t>R'</t>
    </r>
    <r>
      <rPr>
        <vertAlign val="subscript"/>
        <sz val="10"/>
        <rFont val="Arial"/>
        <family val="2"/>
      </rPr>
      <t>T</t>
    </r>
  </si>
  <si>
    <r>
      <t>R''</t>
    </r>
    <r>
      <rPr>
        <vertAlign val="subscript"/>
        <sz val="10"/>
        <rFont val="Arial"/>
        <family val="2"/>
      </rPr>
      <t>T</t>
    </r>
  </si>
  <si>
    <t>e</t>
  </si>
  <si>
    <t>OSB</t>
  </si>
  <si>
    <t>Assembly no.</t>
  </si>
  <si>
    <t>Building assembly description</t>
  </si>
  <si>
    <t>Heat transmission resistance  [m²K/W]</t>
  </si>
  <si>
    <t>Area section 1</t>
  </si>
  <si>
    <r>
      <t xml:space="preserve">l </t>
    </r>
    <r>
      <rPr>
        <sz val="8"/>
        <rFont val="Arial"/>
        <family val="2"/>
      </rPr>
      <t>[W/(mK)]</t>
    </r>
  </si>
  <si>
    <t>Area section 2 (optional)</t>
  </si>
  <si>
    <t>Area section 3 (optional)</t>
  </si>
  <si>
    <t>Percentage of sec. 2</t>
  </si>
  <si>
    <t>Percentage of sec. 3</t>
  </si>
  <si>
    <t xml:space="preserve">Total  </t>
  </si>
  <si>
    <t>Percentage of sec. 1</t>
  </si>
  <si>
    <t>Thermal conductivity</t>
  </si>
  <si>
    <t>Manfacturing energy</t>
  </si>
  <si>
    <t>[kWh/m³]</t>
  </si>
  <si>
    <t>Service life</t>
  </si>
  <si>
    <t>[a]</t>
  </si>
  <si>
    <t>[kg CO2eq]</t>
  </si>
  <si>
    <t>[kg CO2eq/m³]</t>
  </si>
  <si>
    <t>GWP</t>
  </si>
  <si>
    <t>U-value supplement [W/(m²K)]</t>
  </si>
  <si>
    <t xml:space="preserve">interior Rsi </t>
  </si>
  <si>
    <t>exterior Rse</t>
  </si>
  <si>
    <t>Count?</t>
  </si>
  <si>
    <r>
      <rPr>
        <b/>
        <sz val="10"/>
        <rFont val="Arial"/>
        <family val="2"/>
      </rPr>
      <t>U-value</t>
    </r>
    <r>
      <rPr>
        <b/>
        <sz val="8"/>
        <rFont val="Arial"/>
        <family val="2"/>
      </rPr>
      <t/>
    </r>
  </si>
  <si>
    <t>yes</t>
  </si>
  <si>
    <t>no</t>
  </si>
  <si>
    <t>PERE</t>
  </si>
  <si>
    <t>PERM</t>
  </si>
  <si>
    <t>PENRE</t>
  </si>
  <si>
    <t>PENRM</t>
  </si>
  <si>
    <t>[kWh]</t>
  </si>
  <si>
    <t>Bezugsgröße</t>
  </si>
  <si>
    <t>EPS-Hartschaum (grau) mit Wärmestrahlungsabsorber</t>
  </si>
  <si>
    <t>Treibhauspotential</t>
  </si>
  <si>
    <t>PE erneuerbar</t>
  </si>
  <si>
    <t>PE ern. Material</t>
  </si>
  <si>
    <t>PE ern. Ges.</t>
  </si>
  <si>
    <t>PE ne</t>
  </si>
  <si>
    <t>PE ne Material</t>
  </si>
  <si>
    <t>PE ne ges.</t>
  </si>
  <si>
    <t>Sekundärstoffe</t>
  </si>
  <si>
    <t>Ern. Sekundärbrennstoffe</t>
  </si>
  <si>
    <t>Nichterneuerbare Sekudärbrennstoffe</t>
  </si>
  <si>
    <t>Frischwasser</t>
  </si>
  <si>
    <t>Gefährliche Abfälle zur Deponierung</t>
  </si>
  <si>
    <t>Entsprgung nicht gefährlicher Abfälle</t>
  </si>
  <si>
    <t>Entsorgung radioaktiver Abfälle</t>
  </si>
  <si>
    <t>Komponenten für die Weiterverwendung</t>
  </si>
  <si>
    <t>Stoffe zum Rrecycling</t>
  </si>
  <si>
    <t>Stoffe für die Energierückgewinnung</t>
  </si>
  <si>
    <t>Exportierte Energie</t>
  </si>
  <si>
    <t>kg CO2 eq</t>
  </si>
  <si>
    <t>kg</t>
  </si>
  <si>
    <t>m³</t>
  </si>
  <si>
    <t>UUID</t>
  </si>
  <si>
    <t>Version</t>
  </si>
  <si>
    <t>Name</t>
  </si>
  <si>
    <t>Konformität</t>
  </si>
  <si>
    <t>Typ</t>
  </si>
  <si>
    <t>Bezugsgroesse</t>
  </si>
  <si>
    <t>Bezugseinheit</t>
  </si>
  <si>
    <t>Referenzfluss-UUID</t>
  </si>
  <si>
    <t>Referenzfluss-Name</t>
  </si>
  <si>
    <t>Schuettdichte (kg/m3)</t>
  </si>
  <si>
    <t>Flaechengewicht (kg/m2)</t>
  </si>
  <si>
    <t>Rohdichte (kg/m3)</t>
  </si>
  <si>
    <t>Schichtdicke (m)</t>
  </si>
  <si>
    <t>Ergiebigkeit (m2)</t>
  </si>
  <si>
    <t>Laengengewicht (kg/m)</t>
  </si>
  <si>
    <t>Umrechungsfaktor auf 1kg</t>
  </si>
  <si>
    <t>Modul</t>
  </si>
  <si>
    <t>ODP</t>
  </si>
  <si>
    <t>POCP</t>
  </si>
  <si>
    <t>AP</t>
  </si>
  <si>
    <t>EP</t>
  </si>
  <si>
    <t>ADPE</t>
  </si>
  <si>
    <t>ADPF</t>
  </si>
  <si>
    <t>PERT</t>
  </si>
  <si>
    <t>PENRT</t>
  </si>
  <si>
    <t>SM</t>
  </si>
  <si>
    <t>RSF</t>
  </si>
  <si>
    <t>NRSF</t>
  </si>
  <si>
    <t>FW</t>
  </si>
  <si>
    <t>HWD</t>
  </si>
  <si>
    <t>NHWD</t>
  </si>
  <si>
    <t>RWD</t>
  </si>
  <si>
    <t>CRU</t>
  </si>
  <si>
    <t>MFR</t>
  </si>
  <si>
    <t>MER</t>
  </si>
  <si>
    <t>EEE</t>
  </si>
  <si>
    <t>EET</t>
  </si>
  <si>
    <t>'DIN EN 15804'</t>
  </si>
  <si>
    <t>generic dataset</t>
  </si>
  <si>
    <t>qm</t>
  </si>
  <si>
    <t>A1-A3</t>
  </si>
  <si>
    <t>8dfa6b75-0dcb-4748-a2d9-2d572d87ba61</t>
  </si>
  <si>
    <t>00.08.000</t>
  </si>
  <si>
    <t>'Dämmstoffe' / 'Expandiertes Polystyrol (EPS)' / 'EPS grau'</t>
  </si>
  <si>
    <t>'DIN EN 15804' / 'ISO 14025'</t>
  </si>
  <si>
    <t>average dataset</t>
  </si>
  <si>
    <t>m3</t>
  </si>
  <si>
    <t>7d7d73a0-d250-b2f3-9246-e470fce8b71c</t>
  </si>
  <si>
    <t>1m3 EPS-Hartschaum Strahlungsabsorber</t>
  </si>
  <si>
    <t>6d535792-4351-4d7d-97c6-6d2c3624f3e0</t>
  </si>
  <si>
    <t>20.20.010</t>
  </si>
  <si>
    <t>Gipsfaserplatte (Dicke 0,01 m)</t>
  </si>
  <si>
    <t>'Mineralische Baustoffe' / 'Steine und Elemente' / 'Gipsplatten'</t>
  </si>
  <si>
    <t>7fbe7537-71b7-4813-953e-786630585a67</t>
  </si>
  <si>
    <t>Gipsfaserplatte (m2)</t>
  </si>
  <si>
    <t>20.19.120</t>
  </si>
  <si>
    <t>'Holz' / 'Vollholz' / 'Konstruktionsvollholz'</t>
  </si>
  <si>
    <t>34ec958a-7c9c-4938-be8d-cc23d4a71d2c</t>
  </si>
  <si>
    <t>Konstruktionsvollholz  (12% Feuchte/10,7% H2O)</t>
  </si>
  <si>
    <t>3057d7c0-7bee-4ba2-9edf-517d4cd97a14</t>
  </si>
  <si>
    <t>Schnittholz Fichte (12% Feuchte/10.7% H2O)</t>
  </si>
  <si>
    <t>'Holz' / 'Vollholz' / 'Bau-Schnittholz'</t>
  </si>
  <si>
    <t>b58e35f5-6fa3-4b40-b877-c04d7bbb0f07</t>
  </si>
  <si>
    <t>Timber spruce (10.7% H2O content)</t>
  </si>
  <si>
    <t>8041ec07-5885-40dc-bfc9-190013f6749b</t>
  </si>
  <si>
    <t>Brettschichtholz Nadelholz</t>
  </si>
  <si>
    <t>'Holz' / 'Vollholz' / 'Brettschichtholz (BSH)'</t>
  </si>
  <si>
    <t>2a062368-d1f2-4708-87ee-214944d9a2e7</t>
  </si>
  <si>
    <t>Brettschichtholz Nadelholz (12% Feuchtigkeit)</t>
  </si>
  <si>
    <t>'Holz' / 'Holzwerkstoffe' / 'OSB-Platte'</t>
  </si>
  <si>
    <t>'EN 15804'</t>
  </si>
  <si>
    <t>representative dataset</t>
  </si>
  <si>
    <t>c609779a-687f-416c-94af-1ccbc2cb4f43</t>
  </si>
  <si>
    <t>feb12984-1266-4082-9127-c26b938e771f</t>
  </si>
  <si>
    <t>00.04.000</t>
  </si>
  <si>
    <t>KLH Massivholzplatten (Kreuzlagenholz)</t>
  </si>
  <si>
    <t>'Holz' / 'Vollholz' / 'Brettschichtholzplatte'</t>
  </si>
  <si>
    <t>specific dataset</t>
  </si>
  <si>
    <t>5e6da674-1a9e-b72b-24e3-ad03cdb7ae59</t>
  </si>
  <si>
    <t>Kreuzlagenholz</t>
  </si>
  <si>
    <t>76d3f78a-8743-49fe-b4a1-f43b819cb930</t>
  </si>
  <si>
    <t>Holzwolle-Leichtbauplatte</t>
  </si>
  <si>
    <t>'Dämmstoffe' / 'Holzwolleplatten' / 'Holzwolleleichtbauplatten'</t>
  </si>
  <si>
    <t>a46dc0c9-913b-4c27-b83f-79a86aca20ce</t>
  </si>
  <si>
    <t>Holzwolle-Leichtbauplatte (m3)</t>
  </si>
  <si>
    <t>393f494d-8738-4330-aa5e-1652bb29b574</t>
  </si>
  <si>
    <t>Holzfaserdämmplatte (Nassverfahren)</t>
  </si>
  <si>
    <t>'Dämmstoffe' / 'Holzfasern' / 'Holzfaserdämmplatte'</t>
  </si>
  <si>
    <t>7f7f51d0-3402-4794-883b-d328b3701441</t>
  </si>
  <si>
    <t>Wood fibre board (wet process) m3</t>
  </si>
  <si>
    <t>51a420d8-6366-4e14-83db-ecfe0721774d</t>
  </si>
  <si>
    <t>Holzfaserdämmstoff Trockenverfahren (Durchschnitt DE)</t>
  </si>
  <si>
    <t>c9e305c5-747b-43b0-9b94-baef80575641</t>
  </si>
  <si>
    <t>a0d69f94-040e-44b1-a88b-bbaeeb0aae2a</t>
  </si>
  <si>
    <t>Zementgebundene Spanplatte</t>
  </si>
  <si>
    <t>'Holz' / 'Holzwerkstoffe' / 'Spanplatten'</t>
  </si>
  <si>
    <t>e601bb4e-53df-4762-9944-cfbc6cd31354</t>
  </si>
  <si>
    <t>Zementgebundene Spanplatte [m3]</t>
  </si>
  <si>
    <t>'Dämmstoffe' / 'Mineralwolle' / 'Mineralwolle'</t>
  </si>
  <si>
    <t>fb8bbdb6-4231-4994-ab8b-10ac60e3c64d</t>
  </si>
  <si>
    <t>Mineralwolle (Schrägdach-Dämmung) (m3)</t>
  </si>
  <si>
    <t>6403d5d9-9978-4183-b140-a30ce936545e</t>
  </si>
  <si>
    <t>Mineralwolle (Flachdach-Dämmung) (m3)</t>
  </si>
  <si>
    <t>c355d75b-9026-4899-a41c-e5d221c424f2</t>
  </si>
  <si>
    <t>Zellulosefaser Einblas-Dämmstoff</t>
  </si>
  <si>
    <t>'Dämmstoffe' / 'Zellulosefaser' / 'Zellulose-Einblas-Dämmstoff'</t>
  </si>
  <si>
    <t>b103bb1e-d781-40ca-8c5d-22463f89e1de</t>
  </si>
  <si>
    <t>Zellulosefaser Einblas-Dämmstoff (m3)</t>
  </si>
  <si>
    <t>d2d1b29f-8dd7-4373-ab2a-de57acd51e72</t>
  </si>
  <si>
    <t>00.00.029</t>
  </si>
  <si>
    <t>FASBA e.V. Baustroh</t>
  </si>
  <si>
    <t>'Dämmstoffe' / 'Stroh' / 'Strohballen'</t>
  </si>
  <si>
    <t>7acdb69c-7d9b-400a-bbeb-74c352c006d3</t>
  </si>
  <si>
    <t>Strohballen</t>
  </si>
  <si>
    <t>'Mineralische Baustoffe' / 'Mörtel und Beton' / 'Putz und Putzmörtel'</t>
  </si>
  <si>
    <t>fd3d3395-1d80-4aa2-9d94-cc67dfeae7b3</t>
  </si>
  <si>
    <t>Gipsputz (Gips) (m³)</t>
  </si>
  <si>
    <t>ff825116-a05f-402b-aed3-1511d59ceba9</t>
  </si>
  <si>
    <t>Kalkzement Putzmörtel [m3]</t>
  </si>
  <si>
    <t>8be785fa-5548-4ea5-a2d7-b962675b9eff</t>
  </si>
  <si>
    <t>Lehmputz</t>
  </si>
  <si>
    <t>9057d5dd-4d2d-4da6-8bb6-95834040b6c2</t>
  </si>
  <si>
    <t>Lehmputz (m³)</t>
  </si>
  <si>
    <t>'Mineralische Baustoffe' / 'Mörtel und Beton' / 'Kleber und Klebemörtel'</t>
  </si>
  <si>
    <t>'Mineralische Baustoffe' / 'Steine und Elemente' / 'Kalksandstein'</t>
  </si>
  <si>
    <t>9f101572-8e14-4b2f-9c09-ab130a143270</t>
  </si>
  <si>
    <t>Kalksandstein m3</t>
  </si>
  <si>
    <t>00.03.000</t>
  </si>
  <si>
    <t>'Mineralische Baustoffe' / 'Steine und Elemente' / 'Ziegel'</t>
  </si>
  <si>
    <t>'Mineralische Baustoffe' / 'Steine und Elemente' / 'Porenbeton'</t>
  </si>
  <si>
    <t>ecb5d927-da9b-4997-ae1d-327174430869</t>
  </si>
  <si>
    <t>Porenbeton P2 04 (m3)</t>
  </si>
  <si>
    <t>00.02.000</t>
  </si>
  <si>
    <t>'Mineralische Baustoffe' / 'Mörtel und Beton' / 'Beton'</t>
  </si>
  <si>
    <t>606d978a-c44a-4b3e-8387-b1291b12e522</t>
  </si>
  <si>
    <t>Lehmstein</t>
  </si>
  <si>
    <t>'Mineralische Baustoffe' / 'Steine und Elemente' / 'Lehmsteine'</t>
  </si>
  <si>
    <t>82f2b454-1292-4bc8-89c4-95c01eadf392</t>
  </si>
  <si>
    <t>Lehmstein (m3)</t>
  </si>
  <si>
    <t>cbc63bd5-2bfe-4381-b644-78df1bce86f3</t>
  </si>
  <si>
    <t>Beton der Druckfestigkeitsklasse C 35/45</t>
  </si>
  <si>
    <t>282639a2-c411-0c69-cb81-6d68c59ad83d</t>
  </si>
  <si>
    <t>1 m³ Konstruktionsbeton C35/45</t>
  </si>
  <si>
    <t>e9ae96ee-ba8d-420d-9725-7c8abd06e082</t>
  </si>
  <si>
    <t>Bewehrungsstahl</t>
  </si>
  <si>
    <t>'Metalle' / 'Stahl und Eisen' / 'Betonstahlmatten'</t>
  </si>
  <si>
    <t>604bc841-158e-42d1-9329-38a59beb280d</t>
  </si>
  <si>
    <t>Stahl Draht</t>
  </si>
  <si>
    <t>EIGEN_Stahlbeton, 100kg Stahl</t>
  </si>
  <si>
    <t>'Dämmstoffe' / 'Phenolharz-Hartschaum (PF)' / 'PF-Platten'</t>
  </si>
  <si>
    <t>a025ad84-a505-4de5-8648-42c82536012f</t>
  </si>
  <si>
    <t>Phenolharz Hartschaum [m3]</t>
  </si>
  <si>
    <t>'Mineralische Baustoffe' / 'Steine und Elemente' / 'Dachziegel'</t>
  </si>
  <si>
    <t>Ökobaudat</t>
  </si>
  <si>
    <t>User def.</t>
  </si>
  <si>
    <t>Density [kg/m³]</t>
  </si>
  <si>
    <t>Include stored energy (PERM, PENRM)</t>
  </si>
  <si>
    <t>relevant</t>
  </si>
  <si>
    <t>[kg/m²]</t>
  </si>
  <si>
    <t>[mm]</t>
  </si>
  <si>
    <t>Thickness</t>
  </si>
  <si>
    <t>Mass per m²</t>
  </si>
  <si>
    <t>Unit</t>
  </si>
  <si>
    <t>User defined name</t>
  </si>
  <si>
    <t>General settings</t>
  </si>
  <si>
    <t>Period under consideration [years]</t>
  </si>
  <si>
    <t>Manufacturing energy</t>
  </si>
  <si>
    <t>Total</t>
  </si>
  <si>
    <t>percentage of section</t>
  </si>
  <si>
    <t>Summ</t>
  </si>
  <si>
    <t>kWh/m²</t>
  </si>
  <si>
    <t>kg CO2eq/m²</t>
  </si>
  <si>
    <r>
      <t>kg CO</t>
    </r>
    <r>
      <rPr>
        <vertAlign val="subscript"/>
        <sz val="11"/>
        <color theme="1"/>
        <rFont val="Calibri"/>
        <family val="2"/>
        <scheme val="minor"/>
      </rPr>
      <t>2eq</t>
    </r>
    <r>
      <rPr>
        <sz val="11"/>
        <color theme="1"/>
        <rFont val="Calibri"/>
        <family val="2"/>
        <scheme val="minor"/>
      </rPr>
      <t>/m²</t>
    </r>
  </si>
  <si>
    <r>
      <t>kg CO</t>
    </r>
    <r>
      <rPr>
        <vertAlign val="subscript"/>
        <sz val="8"/>
        <color theme="1"/>
        <rFont val="Arial"/>
        <family val="2"/>
      </rPr>
      <t>2</t>
    </r>
    <r>
      <rPr>
        <sz val="8"/>
        <color theme="1"/>
        <rFont val="Arial"/>
        <family val="2"/>
      </rPr>
      <t>eq/m²</t>
    </r>
  </si>
  <si>
    <t>Climate</t>
  </si>
  <si>
    <t>Location</t>
  </si>
  <si>
    <r>
      <t>G</t>
    </r>
    <r>
      <rPr>
        <b/>
        <vertAlign val="subscript"/>
        <sz val="11"/>
        <color theme="1"/>
        <rFont val="Calibri"/>
        <family val="2"/>
        <scheme val="minor"/>
      </rPr>
      <t>t</t>
    </r>
    <r>
      <rPr>
        <b/>
        <sz val="11"/>
        <color theme="1"/>
        <rFont val="Calibri"/>
        <family val="2"/>
        <scheme val="minor"/>
      </rPr>
      <t xml:space="preserve"> [kKh/a]</t>
    </r>
  </si>
  <si>
    <t>PER heating el.</t>
  </si>
  <si>
    <t>Opaque Assemblies</t>
  </si>
  <si>
    <t>No.</t>
  </si>
  <si>
    <t>Degreehours [kKh/a]</t>
  </si>
  <si>
    <t>kWh/m²a</t>
  </si>
  <si>
    <t>transmission loses</t>
  </si>
  <si>
    <t>SPF heat pump</t>
  </si>
  <si>
    <t>Heating</t>
  </si>
  <si>
    <t>Heat pump</t>
  </si>
  <si>
    <t>Direct electric</t>
  </si>
  <si>
    <t>Gas boiler</t>
  </si>
  <si>
    <t>Biomass</t>
  </si>
  <si>
    <t>PER demand</t>
  </si>
  <si>
    <t>Energy carrier</t>
  </si>
  <si>
    <t>Electricity</t>
  </si>
  <si>
    <t>Natural / EE gas</t>
  </si>
  <si>
    <t>Average CO2-factor in period
[g CO2eq / kWh]</t>
  </si>
  <si>
    <t>PER-factor</t>
  </si>
  <si>
    <t>Start</t>
  </si>
  <si>
    <t>CO2-factors g/kWh</t>
  </si>
  <si>
    <t>end</t>
  </si>
  <si>
    <t>Year</t>
  </si>
  <si>
    <t>Average</t>
  </si>
  <si>
    <t>Start year of period</t>
  </si>
  <si>
    <t>Period</t>
  </si>
  <si>
    <t>End</t>
  </si>
  <si>
    <t>Zeile</t>
  </si>
  <si>
    <t>Gas</t>
  </si>
  <si>
    <t>Distribution efficiency</t>
  </si>
  <si>
    <t>Heat generator efficiency</t>
  </si>
  <si>
    <t>Generator efficiency</t>
  </si>
  <si>
    <t>Service phase</t>
  </si>
  <si>
    <t>kg CO2eq/m²a</t>
  </si>
  <si>
    <t>Construction phase</t>
  </si>
  <si>
    <t>Service period</t>
  </si>
  <si>
    <t>(Renewable) Primary energy</t>
  </si>
  <si>
    <t>Carbon dioxide emissions</t>
  </si>
  <si>
    <r>
      <t>kg CO</t>
    </r>
    <r>
      <rPr>
        <vertAlign val="subscript"/>
        <sz val="8"/>
        <color theme="1"/>
        <rFont val="Arial"/>
        <family val="2"/>
      </rPr>
      <t>2</t>
    </r>
    <r>
      <rPr>
        <sz val="8"/>
        <color theme="1"/>
        <rFont val="Arial"/>
        <family val="2"/>
      </rPr>
      <t>eq/m² (embodied + manufacturing)</t>
    </r>
  </si>
  <si>
    <r>
      <t>kWh</t>
    </r>
    <r>
      <rPr>
        <vertAlign val="subscript"/>
        <sz val="8"/>
        <color theme="1"/>
        <rFont val="Arial"/>
        <family val="2"/>
      </rPr>
      <t>PE</t>
    </r>
    <r>
      <rPr>
        <sz val="8"/>
        <color theme="1"/>
        <rFont val="Arial"/>
        <family val="2"/>
      </rPr>
      <t>/m²</t>
    </r>
  </si>
  <si>
    <r>
      <t>kWh</t>
    </r>
    <r>
      <rPr>
        <vertAlign val="subscript"/>
        <sz val="8"/>
        <color theme="1"/>
        <rFont val="Arial"/>
        <family val="2"/>
      </rPr>
      <t>PER</t>
    </r>
    <r>
      <rPr>
        <sz val="8"/>
        <color theme="1"/>
        <rFont val="Arial"/>
        <family val="2"/>
      </rPr>
      <t>/m²</t>
    </r>
  </si>
  <si>
    <t>U-value</t>
  </si>
  <si>
    <t>Construction</t>
  </si>
  <si>
    <t>Energy</t>
  </si>
  <si>
    <t xml:space="preserve">Construction </t>
  </si>
  <si>
    <t>Manufacturing Carbon</t>
  </si>
  <si>
    <t>Carbon</t>
  </si>
  <si>
    <t>EIFS Wood faser</t>
  </si>
  <si>
    <t>Monolithic Aerated concrete</t>
  </si>
  <si>
    <t>Monolithic Brickwork</t>
  </si>
  <si>
    <t>Retrofit (EPS g)</t>
  </si>
  <si>
    <t>Retrofit (Holzweichfaser)</t>
  </si>
  <si>
    <t>Dämmstoffe</t>
  </si>
  <si>
    <t>b29f31dc-bf1b-4214-98b4-fc2b52165a86</t>
  </si>
  <si>
    <t>PU-Dämmplatten mit 50 µm Aluminium-Deckschicht</t>
  </si>
  <si>
    <t>'Dämmstoffe' / 'Polyurethan-Hartschaum (PU)' / 'PU mit Aluminium'</t>
  </si>
  <si>
    <t>31890c98-0b7e-8476-a628-1b15e4e698c5</t>
  </si>
  <si>
    <t>1 m² installierte PU-Dämmplatte mit 50 µm Aluminium-Deckschicht</t>
  </si>
  <si>
    <t>17b57de7-d929-44fd-8031-6180204aaf36</t>
  </si>
  <si>
    <t>00.06.000</t>
  </si>
  <si>
    <t>FOAMGLAS® W+F und FOAMGLAS® T3+</t>
  </si>
  <si>
    <t>'Dämmstoffe' / 'Schaumglas' / 'Platten'</t>
  </si>
  <si>
    <t>eb3c424c-97f4-ff0b-ab3e-71a64d2c9d66</t>
  </si>
  <si>
    <t>1 kg FOAMGLAS® W+F bzw. FOAMGLAS® T3+</t>
  </si>
  <si>
    <t>PIR Hartschaum</t>
  </si>
  <si>
    <t>'Dämmstoffe' / 'Polyurethan-Hartschaum (PU)' / 'PIR-Hartschaum'</t>
  </si>
  <si>
    <t>8537bacb-9338-4898-9575-ed6f078e6ec2</t>
  </si>
  <si>
    <t>PIR Hartschaum [m3]</t>
  </si>
  <si>
    <t>'Dämmstoffe' / 'Extrudiertes Polystyrol (XPS)' / 'XPS weiß'</t>
  </si>
  <si>
    <t>de8dc271-316c-40dc-a86c-498326bfbfd0</t>
  </si>
  <si>
    <t>Extrudiertes Polystyrol (XPS) m3</t>
  </si>
  <si>
    <t>0827718f-8cb2-4f4b-8dca-ce298cac1011</t>
  </si>
  <si>
    <t>GLAPOR Schaumglas</t>
  </si>
  <si>
    <t>a57dbeb4-236b-db80-c3bb-0a27821dc418</t>
  </si>
  <si>
    <t>GLAPOR Schaumglas / pro m³ (120 kg/m³)</t>
  </si>
  <si>
    <t>Name (de)</t>
  </si>
  <si>
    <t>Name (en)</t>
  </si>
  <si>
    <t>Kategorie (original)</t>
  </si>
  <si>
    <t>Kategorie (en)</t>
  </si>
  <si>
    <t>Laenderkennung</t>
  </si>
  <si>
    <t>Gueltig bis</t>
  </si>
  <si>
    <t>URL</t>
  </si>
  <si>
    <t>Declaration owner</t>
  </si>
  <si>
    <t>Veroeffentlicht am</t>
  </si>
  <si>
    <t>Registrierungsnummer</t>
  </si>
  <si>
    <t>Registrierungsstelle</t>
  </si>
  <si>
    <t>UUID des Vorgängers</t>
  </si>
  <si>
    <t>Version des Vorgängers</t>
  </si>
  <si>
    <t>A2AP (A2)</t>
  </si>
  <si>
    <t>A2GWPtotal (A2)</t>
  </si>
  <si>
    <t>A2GWPbiogenic (A2)</t>
  </si>
  <si>
    <t>A2GWPfossil (A2)</t>
  </si>
  <si>
    <t>A2GWPluluc (A2)</t>
  </si>
  <si>
    <t>A2ETPfw (A2)</t>
  </si>
  <si>
    <t>A2PM (A2)</t>
  </si>
  <si>
    <t>A2EPmarine (A2)</t>
  </si>
  <si>
    <t>A2EPfreshwater (A2)</t>
  </si>
  <si>
    <t>A2EPterrestrial (A2)</t>
  </si>
  <si>
    <t>A2HTPc (A2)</t>
  </si>
  <si>
    <t>A2HTPnc (A2)</t>
  </si>
  <si>
    <t>A2IRP (A2)</t>
  </si>
  <si>
    <t>A2SOP (A2)</t>
  </si>
  <si>
    <t>A2ODP (A2)</t>
  </si>
  <si>
    <t>A2POCP (A2)</t>
  </si>
  <si>
    <t>A2ADPF (A2)</t>
  </si>
  <si>
    <t>A2ADPE (A2)</t>
  </si>
  <si>
    <t>A2WDP (A2)</t>
  </si>
  <si>
    <t>Identifier</t>
  </si>
  <si>
    <t>026-PIR Hartschaum; 31 kg/m³; 0 W/(mK); 40 years</t>
  </si>
  <si>
    <t>028-GLAPOR Schaumglas; 120 kg/m³; 0,04 W/(mK); 40 years</t>
  </si>
  <si>
    <t>Embodied energy</t>
  </si>
  <si>
    <t>6ef00a53-1ddc-4c60-8840-e57a860ce18b</t>
  </si>
  <si>
    <t>20.21.060</t>
  </si>
  <si>
    <t>Mineral wool (flat roof insulation)</t>
  </si>
  <si>
    <t>'Insulation materials' / 'Mineral wool' / 'Mineral wool'</t>
  </si>
  <si>
    <t>'EN 15804+A2'</t>
  </si>
  <si>
    <t>DE</t>
  </si>
  <si>
    <t>https://www.oekobaudat.de/OEKOBAU.DAT/resource/processes/6ef00a53-1ddc-4c60-8840-e57a860ce18b?version=20.21.060</t>
  </si>
  <si>
    <t>Sphera Solutions GmbH</t>
  </si>
  <si>
    <t>cb0c2e5b-be08-47bd-badb-77ac39ae026d</t>
  </si>
  <si>
    <t>Mineral wool (pitched roof insulation)</t>
  </si>
  <si>
    <t>https://www.oekobaudat.de/OEKOBAU.DAT/resource/processes/cb0c2e5b-be08-47bd-badb-77ac39ae026d?version=20.21.060</t>
  </si>
  <si>
    <t>34633906-b5d4-48d8-adf4-90037a7499d9</t>
  </si>
  <si>
    <t>00.00.053</t>
  </si>
  <si>
    <t>Wood fiber insulation - dry process (German average)</t>
  </si>
  <si>
    <t>'Insulation materials' / 'Wood fibre' / 'Wood fibre insulation boards'</t>
  </si>
  <si>
    <t>'EN 15804+A2' / 'EN 16485'</t>
  </si>
  <si>
    <t>https://www.oekobaudat.de/OEKOBAU.DAT/resource/processes/34633906-b5d4-48d8-adf4-90037a7499d9?version=00.00.053</t>
  </si>
  <si>
    <t>Thünen-Institut für Holzforschung</t>
  </si>
  <si>
    <t>00.00.050</t>
  </si>
  <si>
    <t>310d5742-487d-4a4c-9e85-126574a2d3a8</t>
  </si>
  <si>
    <t>Phenolic resin foam</t>
  </si>
  <si>
    <t>'Insulation materials' / 'Rigid phenolic foam' / 'Phenolic foam boards'</t>
  </si>
  <si>
    <t>https://www.oekobaudat.de/OEKOBAU.DAT/resource/processes/310d5742-487d-4a4c-9e85-126574a2d3a8?version=20.21.060</t>
  </si>
  <si>
    <t>e08642c5-4c81-4170-9130-d7fa8fb6509f</t>
  </si>
  <si>
    <t>Cellulose fibre blowing insulation material</t>
  </si>
  <si>
    <t>'Insulation materials' / 'Cellulose fibre' / 'Cellulose insulation (loose fill)'</t>
  </si>
  <si>
    <t>https://www.oekobaudat.de/OEKOBAU.DAT/resource/processes/e08642c5-4c81-4170-9130-d7fa8fb6509f?version=20.21.060</t>
  </si>
  <si>
    <t>Mineralwolle (Flachdach-Dämmung)  - 2022</t>
  </si>
  <si>
    <t>Mineralwolle (Schrägdach-Dämmung)  - 2022</t>
  </si>
  <si>
    <t>Holzfaserdämmstoff Trockenverfahren (Durchschnitt DE)  - 2022</t>
  </si>
  <si>
    <t>Phenolharz Hartschaum  - 2022</t>
  </si>
  <si>
    <t>Zellulosefaser Einblas-Dämmstoff  - 2022</t>
  </si>
  <si>
    <t>db4edb8d-1c88-45e3-893a-97881c3b3ff1</t>
  </si>
  <si>
    <t>01.00.022</t>
  </si>
  <si>
    <t>Oriented Strand Board (German average)</t>
  </si>
  <si>
    <t>'Wood' / 'Derived timber products' / 'Oriented strand board'</t>
  </si>
  <si>
    <t>https://www.oekobaudat.de/OEKOBAU.DAT/resource/processes/db4edb8d-1c88-45e3-893a-97881c3b3ff1?version=01.00.022</t>
  </si>
  <si>
    <t>e82d39f1-fe17-44f6-b531-e1b638281f6d</t>
  </si>
  <si>
    <t>01.00.020</t>
  </si>
  <si>
    <t>Oriented Strand Board (Durchschnitt DE) 2022</t>
  </si>
  <si>
    <t>f7f147bb-a27f-491a-9f5a-b21d6f24c61c</t>
  </si>
  <si>
    <t>Solid construction timber (generic, 15% moisture / 13% H2O content)</t>
  </si>
  <si>
    <t>'Wood' / 'Solid wood' / 'Solid structural timber (KVH)'</t>
  </si>
  <si>
    <t>https://www.oekobaudat.de/OEKOBAU.DAT/resource/processes/f7f147bb-a27f-491a-9f5a-b21d6f24c61c?version=20.21.060</t>
  </si>
  <si>
    <t>21034c58-7460-469d-8715-88d1eb90936c</t>
  </si>
  <si>
    <t>Gypsum plaster board (impregnated, 12.5 mm)</t>
  </si>
  <si>
    <t>'Mineral building products' / 'Bricks, blocks and elements' / 'Gypsum plasterboard'</t>
  </si>
  <si>
    <t>https://www.oekobaudat.de/OEKOBAU.DAT/resource/processes/21034c58-7460-469d-8715-88d1eb90936c?version=20.21.060</t>
  </si>
  <si>
    <t>946db26b-2f8e-40ca-b933-110fc4f6d16f</t>
  </si>
  <si>
    <t>Gipskartonplatte (imprägniert) [m2]</t>
  </si>
  <si>
    <t>cf335713-922c-446a-ba90-f225534bfc03</t>
  </si>
  <si>
    <t>Lime-cement plaster</t>
  </si>
  <si>
    <t>'Mineral building products' / 'Mortar and Concrete' / 'Renders and plasters'</t>
  </si>
  <si>
    <t>https://www.oekobaudat.de/OEKOBAU.DAT/resource/processes/cf335713-922c-446a-ba90-f225534bfc03?version=20.21.060</t>
  </si>
  <si>
    <t>Gipskartonplatte (imprägniert, 12,5mm) 2022</t>
  </si>
  <si>
    <t>Kalkzement Putzmörtel 2022</t>
  </si>
  <si>
    <t>f8e81ff6-1886-482e-9a78-7b1246a8c8f9</t>
  </si>
  <si>
    <t>Gypsum interior plaster</t>
  </si>
  <si>
    <t>https://www.oekobaudat.de/OEKOBAU.DAT/resource/processes/f8e81ff6-1886-482e-9a78-7b1246a8c8f9?version=20.21.060</t>
  </si>
  <si>
    <t>Gipsputz (innen) 2022</t>
  </si>
  <si>
    <t>722467a6-68cb-4676-bf9f-c6ea1d36594f</t>
  </si>
  <si>
    <t>'Mineral building products' / 'Bricks, blocks and elements' / 'Sand lime brick'</t>
  </si>
  <si>
    <t>https://www.oekobaudat.de/OEKOBAU.DAT/resource/processes/722467a6-68cb-4676-bf9f-c6ea1d36594f?version=20.21.060</t>
  </si>
  <si>
    <t>Kalksandstein 2022</t>
  </si>
  <si>
    <t>'Mineral building products' / 'Bricks, blocks and elements' / 'Aerated concrete'</t>
  </si>
  <si>
    <t>ccee13d3-1e5b-41e2-a867-0d844ee6c1bf</t>
  </si>
  <si>
    <t>Brick (filled with insulating material)</t>
  </si>
  <si>
    <t>'Mineral building products' / 'Bricks, blocks and elements' / 'Fired brick'</t>
  </si>
  <si>
    <t>'DIN EN 15804+A2' / 'ISO 14025'</t>
  </si>
  <si>
    <t>https://www.oekobaudat.de/OEKOBAU.DAT/resource/processes/ccee13d3-1e5b-41e2-a867-0d844ee6c1bf?version=00.03.000</t>
  </si>
  <si>
    <t>Bundesverband der Deutschen Ziegelindustrie e.V.</t>
  </si>
  <si>
    <t>EPD-BDZ-20210071-ICG1-DE</t>
  </si>
  <si>
    <t>Institut Bauen und Umwelt e. V.</t>
  </si>
  <si>
    <t>ee35fadf-49be-03b6-9920-9303c9c22612</t>
  </si>
  <si>
    <t>Mauerziegel (605 kg/m³)</t>
  </si>
  <si>
    <t>dfac45db-fd07-4dcb-9359-2b8b4e882d62</t>
  </si>
  <si>
    <t>https://www.oekobaudat.de/OEKOBAU.DAT/resource/processes/dfac45db-fd07-4dcb-9359-2b8b4e882d62?version=20.21.060</t>
  </si>
  <si>
    <t>30514538-fcb4-483b-b5d5-c108d2037536</t>
  </si>
  <si>
    <t>Brick (unfilled)</t>
  </si>
  <si>
    <t>https://www.oekobaudat.de/OEKOBAU.DAT/resource/processes/30514538-fcb4-483b-b5d5-c108d2037536?version=00.04.000</t>
  </si>
  <si>
    <t>EPD-BDZ-20210066-ICG1-DE</t>
  </si>
  <si>
    <t>acb3d2f7-0a1c-f0d3-77ea-73459b6c91de</t>
  </si>
  <si>
    <t>Mauerziegel (575 kg/m³)</t>
  </si>
  <si>
    <t>Porenbeton P2 04 unbewehrt 2022</t>
  </si>
  <si>
    <t>Mauerziegel (ungefüllt) 2022</t>
  </si>
  <si>
    <t>Mauerziegel (mit Dämmstoff gefüllt) 2022</t>
  </si>
  <si>
    <t>GWP Total [kg CO2eq/m²]</t>
  </si>
  <si>
    <t>Energy Construction [kWh/m²]</t>
  </si>
  <si>
    <t>Energy Service [kWh/m²]</t>
  </si>
  <si>
    <t>Glazing</t>
  </si>
  <si>
    <t>c58cb849-f05f-4edf-af22-8f87c1f84975</t>
  </si>
  <si>
    <t>Isolierglas 2-Scheiben</t>
  </si>
  <si>
    <t>Insulated glazing, double pane</t>
  </si>
  <si>
    <t>'Komponenten von Fenstern und Vorhangfassaden' / 'Füllungen' / 'Transparente Füllungen'</t>
  </si>
  <si>
    <t>'Components for windows and curtain walls' / 'Infill' / 'Transparent infill'</t>
  </si>
  <si>
    <t>https://www.oekobaudat.de/OEKOBAU.DAT/resource/processes/c58cb849-f05f-4edf-af22-8f87c1f84975?version=20.21.060</t>
  </si>
  <si>
    <t>3941dd2c-7511-4670-8aa2-8e2811528102</t>
  </si>
  <si>
    <t>Isolierglasverbund</t>
  </si>
  <si>
    <t>RER</t>
  </si>
  <si>
    <t>template dataset</t>
  </si>
  <si>
    <t>Bundesverband Flachglas e.V.</t>
  </si>
  <si>
    <t>a94761d9-2c1e-467b-a062-846b099ba375</t>
  </si>
  <si>
    <t>00.01.005</t>
  </si>
  <si>
    <t>Flachglas - Guardian - Flachglas beschichtet</t>
  </si>
  <si>
    <t>EU-27</t>
  </si>
  <si>
    <t>https://www.oekobaudat.de/OEKOBAU.DAT/resource/processes/a94761d9-2c1e-467b-a062-846b099ba375?version=00.01.005</t>
  </si>
  <si>
    <t>Guardian Europe S.à r.l.</t>
  </si>
  <si>
    <t>3337fabc-eb8a-43a5-9009-b874d4f93354</t>
  </si>
  <si>
    <t>3598f7e3-1be1-4a05-9d2e-f41ad4623ced</t>
  </si>
  <si>
    <t>Fensterglas einfach</t>
  </si>
  <si>
    <t>Window glass, single</t>
  </si>
  <si>
    <t>https://www.oekobaudat.de/OEKOBAU.DAT/resource/processes/3598f7e3-1be1-4a05-9d2e-f41ad4623ced?version=20.21.060</t>
  </si>
  <si>
    <t>3b55ff4f-c91a-450b-a6d4-9d4cecfd291a</t>
  </si>
  <si>
    <t>Fensterglas einfach m2</t>
  </si>
  <si>
    <t>6eaddefb-7a0f-43e4-a0cb-8459c26e0947</t>
  </si>
  <si>
    <t>Dreifachverglasung</t>
  </si>
  <si>
    <t>Insulated glazing, triple pane</t>
  </si>
  <si>
    <t>https://www.oekobaudat.de/OEKOBAU.DAT/resource/processes/6eaddefb-7a0f-43e4-a0cb-8459c26e0947?version=20.21.060</t>
  </si>
  <si>
    <t>472150d1-0e84-4dd5-98ba-18ee09bec971</t>
  </si>
  <si>
    <t>Dreifach Isolierverglasung</t>
  </si>
  <si>
    <t>Thickness ökobadat</t>
  </si>
  <si>
    <t>Anmerkungen PHI</t>
  </si>
  <si>
    <t xml:space="preserve">kk 2022-04-17 according to Ökobaudat: 4/16/4/16/4 Argon, incl. Coating, Warm edge bond, reference size 1.24*0.99 m </t>
  </si>
  <si>
    <t>kk 2022-04-17 according to Ökobaudat:  Argon, incl. Coating, Warm edge bond. 4/16/4 is assumed by PHI based on the weight of the glazing.</t>
  </si>
  <si>
    <t>kk 2022-04-17 according to Ökobaudat: Uncoated glass, 4 mm thickness</t>
  </si>
  <si>
    <t>Comment PHI</t>
  </si>
  <si>
    <t>Filling</t>
  </si>
  <si>
    <t>Edge bond</t>
  </si>
  <si>
    <t>Sum Gas</t>
  </si>
  <si>
    <t xml:space="preserve">Sum glass </t>
  </si>
  <si>
    <t>Ug</t>
  </si>
  <si>
    <t>g</t>
  </si>
  <si>
    <t>[-]</t>
  </si>
  <si>
    <t>[W/(m²K)]</t>
  </si>
  <si>
    <t>Single glazing</t>
  </si>
  <si>
    <t>Overall Thickness</t>
  </si>
  <si>
    <t>[kWh/m²]</t>
  </si>
  <si>
    <t>[kg CO2eq/m²]</t>
  </si>
  <si>
    <t>Warm edge</t>
  </si>
  <si>
    <t>None</t>
  </si>
  <si>
    <t>Argon</t>
  </si>
  <si>
    <t>Type</t>
  </si>
  <si>
    <t>Rome (IT)</t>
  </si>
  <si>
    <t>Frankfurt/Main (DE)</t>
  </si>
  <si>
    <t>Freiburg (DE)</t>
  </si>
  <si>
    <t>Potsdam (DE)</t>
  </si>
  <si>
    <t>Hof (DE)</t>
  </si>
  <si>
    <t>Rad. North</t>
  </si>
  <si>
    <t>Rad. East</t>
  </si>
  <si>
    <t>Rad. South</t>
  </si>
  <si>
    <t>Rad. West</t>
  </si>
  <si>
    <t>Rad. Horizontal</t>
  </si>
  <si>
    <t>Radiation [kWh/(m²a)] by Orientation</t>
  </si>
  <si>
    <t>North</t>
  </si>
  <si>
    <t>South</t>
  </si>
  <si>
    <t>East</t>
  </si>
  <si>
    <t>West</t>
  </si>
  <si>
    <t>Horizontal</t>
  </si>
  <si>
    <t>Degreehrs</t>
  </si>
  <si>
    <t>Double low-e (1 coating)</t>
  </si>
  <si>
    <t>Triple low-e (2 coatings)</t>
  </si>
  <si>
    <t>Quadruple low-e (3 coatings)</t>
  </si>
  <si>
    <t>Solar irradiation reduction factor</t>
  </si>
  <si>
    <t>Shading</t>
  </si>
  <si>
    <t>Dirt</t>
  </si>
  <si>
    <t>Non-vertical</t>
  </si>
  <si>
    <t>Manufacturing</t>
  </si>
  <si>
    <t xml:space="preserve">Add. glass </t>
  </si>
  <si>
    <t>Service</t>
  </si>
  <si>
    <t>Orientation</t>
  </si>
  <si>
    <t>Transmission losses</t>
  </si>
  <si>
    <t>Radiation</t>
  </si>
  <si>
    <t>Gains</t>
  </si>
  <si>
    <t>Net losses</t>
  </si>
  <si>
    <t>Double (no coating)</t>
  </si>
  <si>
    <t>kk 2022-04-17: EIGEN: 8 mm of glass.</t>
  </si>
  <si>
    <t>Double glazing</t>
  </si>
  <si>
    <t>Double low-e</t>
  </si>
  <si>
    <t>Triple low-e (solar)</t>
  </si>
  <si>
    <t>Triple low-e</t>
  </si>
  <si>
    <t>Quadruple low-e</t>
  </si>
  <si>
    <t>Triple low-e (U)</t>
  </si>
  <si>
    <t>f7384d7c-90ba-4ec7-ab80-f9b1b79fd0eb</t>
  </si>
  <si>
    <t>00.02.026</t>
  </si>
  <si>
    <t>Glas - Bundesverband Flachglas e.V. - Einscheibensicherheitsglas</t>
  </si>
  <si>
    <t>Glass - Bundesverband Flachglas e.V. - Toughened safety glass</t>
  </si>
  <si>
    <t>https://www.oekobaudat.de/OEKOBAU.DAT/resource/processes/f7384d7c-90ba-4ec7-ab80-f9b1b79fd0eb?version=00.02.026</t>
  </si>
  <si>
    <t>286e74f5-f4c8-4c14-91c1-9b3e0d7c927f</t>
  </si>
  <si>
    <t>096273e5-a370-4edd-852c-f2abfa9cfb83</t>
  </si>
  <si>
    <t>00.01.004</t>
  </si>
  <si>
    <t>Flachglas - Guardian - Flachglas unbeschichtet</t>
  </si>
  <si>
    <t>https://www.oekobaudat.de/OEKOBAU.DAT/resource/processes/096273e5-a370-4edd-852c-f2abfa9cfb83?version=00.01.004</t>
  </si>
  <si>
    <t>c55200b7-c6f1-481f-8b18-6d4c712c852c</t>
  </si>
  <si>
    <t>ESG</t>
  </si>
  <si>
    <t>kk 2022-04-17: EIGEN: Summ of double and triple, substracted by single G, added by ESG (4*3mm).</t>
  </si>
  <si>
    <t>Settings</t>
  </si>
  <si>
    <t>Frames</t>
  </si>
  <si>
    <t>Timber frame</t>
  </si>
  <si>
    <t>300-Timber for windows</t>
  </si>
  <si>
    <t>Area in profile</t>
  </si>
  <si>
    <t>[mm²]</t>
  </si>
  <si>
    <t>Soft Timber for windows</t>
  </si>
  <si>
    <t>Timber</t>
  </si>
  <si>
    <t>EPDM</t>
  </si>
  <si>
    <t>Insulation tape</t>
  </si>
  <si>
    <t>Silicone</t>
  </si>
  <si>
    <t>Hardware</t>
  </si>
  <si>
    <t>Surface length</t>
  </si>
  <si>
    <t>thinkstep</t>
  </si>
  <si>
    <t>m</t>
  </si>
  <si>
    <t>EPDM gasket</t>
  </si>
  <si>
    <t>301-EPDM gasket</t>
  </si>
  <si>
    <t>b7e025d3-67be-4403-b861-2afb36072bca</t>
  </si>
  <si>
    <t>00.01.000</t>
  </si>
  <si>
    <t>Kältekautschuk Plus S3 Platte</t>
  </si>
  <si>
    <t>Kältekautschuk Plus S3 sheet</t>
  </si>
  <si>
    <t>'Dämmstoffe' / 'Kautschuk' / 'Schaum'</t>
  </si>
  <si>
    <t>'Insulation materials' / 'Rubber' / 'Foam'</t>
  </si>
  <si>
    <t>https://www.oekobaudat.de/OEKOBAU.DAT/resource/processes/b7e025d3-67be-4403-b861-2afb36072bca?version=00.01.000</t>
  </si>
  <si>
    <t>Adolf Würth GmbH &amp; Co. KG</t>
  </si>
  <si>
    <t>EPD-AWU-20210056-IBC1-DE</t>
  </si>
  <si>
    <t>2c037398-f715-2d11-8f05-38e4ff81522b</t>
  </si>
  <si>
    <t>Dämmstoff Kältekautschuk Plus S3 Platte</t>
  </si>
  <si>
    <t>302-Insulation tape</t>
  </si>
  <si>
    <t>f31a93c2-0132-4508-916d-14579f636fb8</t>
  </si>
  <si>
    <t>Silikon-Dichtmasse</t>
  </si>
  <si>
    <t>Silicone sealing compound</t>
  </si>
  <si>
    <t>'Kunststoffe' / 'Dichtmassen' / 'Silikon'</t>
  </si>
  <si>
    <t>'Plastics' / 'Sealing materials' / 'Silicone'</t>
  </si>
  <si>
    <t>https://www.oekobaudat.de/OEKOBAU.DAT/resource/processes/f31a93c2-0132-4508-916d-14579f636fb8?version=20.21.060</t>
  </si>
  <si>
    <t>83c52e58-3619-44a9-809d-c9d23950bbdf</t>
  </si>
  <si>
    <t>Silikon Dichtmasse</t>
  </si>
  <si>
    <t>d4ca0d80-54a4-44b6-9fda-2cbbf82ea0d4</t>
  </si>
  <si>
    <t>Stahlprofil</t>
  </si>
  <si>
    <t>Steel section</t>
  </si>
  <si>
    <t>'Metalle' / 'Stahl und Eisen' / 'Stahlprofile'</t>
  </si>
  <si>
    <t>'Metals' / 'Steel and iron' / 'Structural steel profile'</t>
  </si>
  <si>
    <t>https://www.oekobaudat.de/OEKOBAU.DAT/resource/processes/d4ca0d80-54a4-44b6-9fda-2cbbf82ea0d4?version=20.21.060</t>
  </si>
  <si>
    <t>9eb8145d-d035-4d9f-a1dc-1006c45cb818</t>
  </si>
  <si>
    <t>b347b33b-8a05-4d0a-83c4-1337c986a775</t>
  </si>
  <si>
    <t>Lacksysteme Holzfenster Zwischenbeschichtung deckend weiß</t>
  </si>
  <si>
    <t>Application intermediate coating water based (windows, white)</t>
  </si>
  <si>
    <t>'Beschichtungen' / 'Lacke und Lasuren' / 'Lacksysteme Holzfenster'</t>
  </si>
  <si>
    <t>'Coverings' / 'Varnishes and stains' / 'Varnish systems for wooden windows'</t>
  </si>
  <si>
    <t>https://www.oekobaudat.de/OEKOBAU.DAT/resource/processes/b347b33b-8a05-4d0a-83c4-1337c986a775?version=20.21.060</t>
  </si>
  <si>
    <t>b1e9e849-4d0a-4688-acda-bb5363e13f01</t>
  </si>
  <si>
    <t>Lacksysteme Holzfenster</t>
  </si>
  <si>
    <t>9a0a1631-fccc-43bc-8911-817cbb79f49b</t>
  </si>
  <si>
    <t>Lacksysteme Holzfenster Decklack weiß</t>
  </si>
  <si>
    <t>Application top-coating water based (windows, white)</t>
  </si>
  <si>
    <t>https://www.oekobaudat.de/OEKOBAU.DAT/resource/processes/9a0a1631-fccc-43bc-8911-817cbb79f49b?version=20.21.060</t>
  </si>
  <si>
    <t>9b8c0626-bb59-43f5-86dd-97484cc5d4c1</t>
  </si>
  <si>
    <t>Lacksysteme Holzfenster Grundierung weiß</t>
  </si>
  <si>
    <t>Application primer water based (windows, white)</t>
  </si>
  <si>
    <t>https://www.oekobaudat.de/OEKOBAU.DAT/resource/processes/9b8c0626-bb59-43f5-86dd-97484cc5d4c1?version=20.21.060</t>
  </si>
  <si>
    <t>Grundierung</t>
  </si>
  <si>
    <t>Zwischenlackierung</t>
  </si>
  <si>
    <t>Endlackierung</t>
  </si>
  <si>
    <t>[kWh/m]</t>
  </si>
  <si>
    <t>[kg CO2eq/m]</t>
  </si>
  <si>
    <t>Uf [W/(m²K)]</t>
  </si>
  <si>
    <t>Ψg [W/(mK)]</t>
  </si>
  <si>
    <t>bf [m]</t>
  </si>
  <si>
    <t>Description</t>
  </si>
  <si>
    <t>Soft timber frame form PHI spacer certification, warm climate</t>
  </si>
  <si>
    <t>Alternative</t>
  </si>
  <si>
    <t>Used</t>
  </si>
  <si>
    <t>Original</t>
  </si>
  <si>
    <t>c2ba651c-00bf-4f69-a0dc-a6a5fe680652</t>
  </si>
  <si>
    <t>PIR high-density foam</t>
  </si>
  <si>
    <t>'Insulation materials' / 'Polyurethane rigid foam' / 'PIR rigid foam'</t>
  </si>
  <si>
    <t>https://www.oekobaudat.de/OEKOBAU.DAT/resource/processes/c2ba651c-00bf-4f69-a0dc-a6a5fe680652?version=20.21.060</t>
  </si>
  <si>
    <t>Soft timber frame form PHI spacer certification, cool, temperate climate</t>
  </si>
  <si>
    <t>PH Timber frame with PU insulation</t>
  </si>
  <si>
    <t>PU/PIR foam</t>
  </si>
  <si>
    <t>Ti-Alu integral</t>
  </si>
  <si>
    <t>Soft timber-Alu integral frame form PHI spacer certification, warm climate</t>
  </si>
  <si>
    <t>c83d501f-d07f-4434-9d5c-862a7e8a3026</t>
  </si>
  <si>
    <t>Aluminiumprofil beschichtet</t>
  </si>
  <si>
    <t>'Metalle' / 'Aluminium' / 'Aluminiumprofil'</t>
  </si>
  <si>
    <t>'Metals' / 'Aluminium' / 'Aluminium profiles'</t>
  </si>
  <si>
    <t>WEU</t>
  </si>
  <si>
    <t>https://www.oekobaudat.de/OEKOBAU.DAT/resource/processes/c83d501f-d07f-4434-9d5c-862a7e8a3026?version=00.01.000</t>
  </si>
  <si>
    <t>GDA - Gesamtverband der Aluminiumindustrie e.V.</t>
  </si>
  <si>
    <t>7c0c3025-2dab-ff28-9374-e6a63c971550</t>
  </si>
  <si>
    <t>Aluminiumprofil pulverbeschichtet</t>
  </si>
  <si>
    <t>Alu cladding</t>
  </si>
  <si>
    <t>PH Ti-Alu integral with PU insulation</t>
  </si>
  <si>
    <t>963ffb34-439a-4cab-9bfb-28c9b42533f2</t>
  </si>
  <si>
    <t>Kunststoffprofil EPDM</t>
  </si>
  <si>
    <t>Plastic profile EPDM</t>
  </si>
  <si>
    <t>'Kunststoffe' / 'Profile' / 'Kunststoffprofile elastisch'</t>
  </si>
  <si>
    <t>'Plastics' / 'Profiles' / 'Elastic plastic profiles'</t>
  </si>
  <si>
    <t>https://www.oekobaudat.de/OEKOBAU.DAT/resource/processes/963ffb34-439a-4cab-9bfb-28c9b42533f2?version=20.21.060</t>
  </si>
  <si>
    <t>2b71cca2-228b-429a-b2f8-fac20a8e0cff</t>
  </si>
  <si>
    <t>Kunststoffprofil (SBR/EPDM)</t>
  </si>
  <si>
    <t>fc442d0a-fbc4-4304-ace8-24304756e2df</t>
  </si>
  <si>
    <t>Kleber für Gipsplatten</t>
  </si>
  <si>
    <t>Adhesive for gypsum board</t>
  </si>
  <si>
    <t>'Mineral building products' / 'Mortar and Concrete' / 'Adhesive and adhesive mortar'</t>
  </si>
  <si>
    <t>https://www.oekobaudat.de/OEKOBAU.DAT/resource/processes/fc442d0a-fbc4-4304-ace8-24304756e2df?version=20.21.060</t>
  </si>
  <si>
    <t>47df2f44-df61-4dc4-b4e5-26641d40728b</t>
  </si>
  <si>
    <t>Gipsplatten-Kleber</t>
  </si>
  <si>
    <t>Glue for ETICS</t>
  </si>
  <si>
    <t>Demand per m²</t>
  </si>
  <si>
    <t>[l]</t>
  </si>
  <si>
    <t>Factor</t>
  </si>
  <si>
    <t>Soft timber-Alu integral frame with PU-insulation form PHI spacer certification, cool, temperate climate</t>
  </si>
  <si>
    <t>Ti-Alu</t>
  </si>
  <si>
    <t>Soft timber-Alu frame form PHI spacer certification, warm climate</t>
  </si>
  <si>
    <t>PH Ti-Alu</t>
  </si>
  <si>
    <t>Soft timber-Alu frame with XPS-insulation form PHI spacer certification, warm climate</t>
  </si>
  <si>
    <t>XPS insulation</t>
  </si>
  <si>
    <t>37f50a3e-5445-4bce-8eda-98f01dba441f</t>
  </si>
  <si>
    <t>Extrudierter Polystyrol Dämmstoff (XPS)</t>
  </si>
  <si>
    <t>Extruded polystyrene (XPS)</t>
  </si>
  <si>
    <t>'Insulation materials' / 'Extruded polystyrene' / 'XPS white'</t>
  </si>
  <si>
    <t>https://www.oekobaudat.de/OEKOBAU.DAT/resource/processes/37f50a3e-5445-4bce-8eda-98f01dba441f?version=20.21.060</t>
  </si>
  <si>
    <t>Vinyl frame</t>
  </si>
  <si>
    <t>PVC</t>
  </si>
  <si>
    <t>GRP</t>
  </si>
  <si>
    <t>Flügelrahmen PVC-U</t>
  </si>
  <si>
    <t>Window sash PVC-U</t>
  </si>
  <si>
    <t>'Komponenten von Fenstern und Vorhangfassaden' / 'Rahmen / Profile' / 'PVC'</t>
  </si>
  <si>
    <t>'Components for windows and curtain walls' / 'Frames / Profiles' / 'PVC'</t>
  </si>
  <si>
    <t>7f875b2e-2a0f-4b63-b82e-52b641075536</t>
  </si>
  <si>
    <t>Flügelrahmen PVC-U (m)</t>
  </si>
  <si>
    <t>Blendrahmen PVC-U</t>
  </si>
  <si>
    <t>Window frame PVC-U</t>
  </si>
  <si>
    <t>8e724103-ee4f-4778-912e-3b01cd114fda</t>
  </si>
  <si>
    <t>Blendrahmen PVC-U (m)</t>
  </si>
  <si>
    <t>57a22bb4-0370-471f-b76c-52699e702966</t>
  </si>
  <si>
    <t>Kabelkanal PVC hart</t>
  </si>
  <si>
    <t>Cable duct PVC, rigid</t>
  </si>
  <si>
    <t>'Kunststoffe' / 'Profile' / 'Kunststoffprofile hart'</t>
  </si>
  <si>
    <t>'Plastics' / 'Profiles' / 'Rigid plastic profiles '</t>
  </si>
  <si>
    <t>https://www.oekobaudat.de/OEKOBAU.DAT/resource/processes/57a22bb4-0370-471f-b76c-52699e702966?version=20.19.120</t>
  </si>
  <si>
    <t>b2f79dd4-33b5-4f9e-9a4d-b25d01636224</t>
  </si>
  <si>
    <t>Kabelkanal</t>
  </si>
  <si>
    <t>d03450fd-9438-43f7-9ee8-45faa63b1333</t>
  </si>
  <si>
    <t>Kunststoffteil aus laminiertem Polyesterharz (GFK, 30% Glasfaseranteil)</t>
  </si>
  <si>
    <t>Polyester resin laminated part (GFRP, 30% glass fibres)</t>
  </si>
  <si>
    <t>https://www.oekobaudat.de/OEKOBAU.DAT/resource/processes/d03450fd-9438-43f7-9ee8-45faa63b1333?version=20.21.060</t>
  </si>
  <si>
    <t>3dbf74c6-0572-4ad3-9912-91916e44097d</t>
  </si>
  <si>
    <t>Kunststoffteil aus laminiertem Polyesterharz</t>
  </si>
  <si>
    <t>d62953d2-61e8-427b-ada2-8a3c4e9756c1</t>
  </si>
  <si>
    <t>Nylon Gussteil (PA 6.6)</t>
  </si>
  <si>
    <t>Nylon part (PA 6.6)</t>
  </si>
  <si>
    <t>https://www.oekobaudat.de/OEKOBAU.DAT/resource/processes/d62953d2-61e8-427b-ada2-8a3c4e9756c1?version=20.21.060</t>
  </si>
  <si>
    <t>38493608-84df-4eda-8b6a-b3d0ca891d08</t>
  </si>
  <si>
    <t>312-Kunststoffteil aus laminiertem Polyesterharz (GFK, 30% Glasfaseranteil); 1400 kg/m³;  W/(mK); 40 years</t>
  </si>
  <si>
    <t>Glasverklebung</t>
  </si>
  <si>
    <t>PH Vinyl frame</t>
  </si>
  <si>
    <t>Soft Vinyl</t>
  </si>
  <si>
    <t>313-Soft Vinyl</t>
  </si>
  <si>
    <t>PVC-Dichtung</t>
  </si>
  <si>
    <t>kg/m</t>
  </si>
  <si>
    <t>EPS-Dämmung</t>
  </si>
  <si>
    <t>Alu frame</t>
  </si>
  <si>
    <t>EPS 100 kg</t>
  </si>
  <si>
    <t>315-EPS 100 kg</t>
  </si>
  <si>
    <t>PU 400 kg</t>
  </si>
  <si>
    <t>PH Alu frame</t>
  </si>
  <si>
    <t>Alu frame seperated by high rigid PU-foam form PHI spacer certification, warm climate</t>
  </si>
  <si>
    <t>Alu frame seperated by high rigid PU-foam form PHI spacer certification, cool, temperate climate</t>
  </si>
  <si>
    <t>EPDM-foam</t>
  </si>
  <si>
    <t>316-EPDM-foam</t>
  </si>
  <si>
    <t>7907e693-d970-4958-adfd-223b541fc731</t>
  </si>
  <si>
    <t>Holz-Flügelrahmen</t>
  </si>
  <si>
    <t>Window sash (spruce)</t>
  </si>
  <si>
    <t>'Komponenten von Fenstern und Vorhangfassaden' / 'Rahmen / Profile' / 'Holz'</t>
  </si>
  <si>
    <t>'Components for windows and curtain walls' / 'Frames / Profiles' / 'Wood'</t>
  </si>
  <si>
    <t>https://www.oekobaudat.de/OEKOBAU.DAT/resource/processes/7907e693-d970-4958-adfd-223b541fc731?version=20.21.060</t>
  </si>
  <si>
    <t>16053bc1-a5ef-4169-8106-79ed5bcf2d06</t>
  </si>
  <si>
    <t>Flügelrahmen</t>
  </si>
  <si>
    <t>ffd4bc0e-1d99-4e84-8710-6dcbf34a98a6</t>
  </si>
  <si>
    <t>Holz-Blendrahmen</t>
  </si>
  <si>
    <t>Window frame (spruce)</t>
  </si>
  <si>
    <t>https://www.oekobaudat.de/OEKOBAU.DAT/resource/processes/ffd4bc0e-1d99-4e84-8710-6dcbf34a98a6?version=20.21.060</t>
  </si>
  <si>
    <t>57b068b7-774d-4668-a35c-198100dfee03</t>
  </si>
  <si>
    <t>Holzfensterrahmen</t>
  </si>
  <si>
    <t>4ca023d1-2eda-43ab-9c55-481a6d250d9b</t>
  </si>
  <si>
    <t>https://www.oekobaudat.de/OEKOBAU.DAT/resource/processes/4ca023d1-2eda-43ab-9c55-481a6d250d9b?version=20.21.060</t>
  </si>
  <si>
    <t>de4d3046-fd0c-479f-a1a6-ae13a9092fc7</t>
  </si>
  <si>
    <t>https://www.oekobaudat.de/OEKOBAU.DAT/resource/processes/de4d3046-fd0c-479f-a1a6-ae13a9092fc7?version=20.21.060</t>
  </si>
  <si>
    <t>Timber frame IV 68</t>
  </si>
  <si>
    <t>ÖKOBAUDAT generic Datasets</t>
  </si>
  <si>
    <t>317-Holz-Flügelrahmen;  kg/m³;  W/(mK); 40 years</t>
  </si>
  <si>
    <t>318-Holz-Blendrahmen;  kg/m³;  W/(mK); 40 years</t>
  </si>
  <si>
    <t>Timber sash</t>
  </si>
  <si>
    <t>Timer frame</t>
  </si>
  <si>
    <t>kk 2022-04-19: according to description:PVC-profil mit Aussteifung, 3,1 kg/m</t>
  </si>
  <si>
    <t>kk 2022-04-19: according to description:PVC-profil mit Aussteifung, 2,8 kg/m</t>
  </si>
  <si>
    <t>kk 2022-04-19: according to description: IV 68Pine, 290 g paint per m</t>
  </si>
  <si>
    <t>PVC Flügelprofil, 3,1 kg/m</t>
  </si>
  <si>
    <t>PVC Rahmenprofil, 2,8 kg/m</t>
  </si>
  <si>
    <t>Generic Vinyl frame</t>
  </si>
  <si>
    <t>ÖKOBAUDAT generic Datasets with steel reinforcement</t>
  </si>
  <si>
    <t>Vinyl frame form PHI spacer certification, warm climate with GRP reinvorcement</t>
  </si>
  <si>
    <t>Vinyl frame form PHI spacer certification, warm climate with GRP reinforcement</t>
  </si>
  <si>
    <t>2a007a28-73b0-44ab-8c0e-1c514d480b46</t>
  </si>
  <si>
    <t>00.00.026</t>
  </si>
  <si>
    <t>Schüco AWS 90.SI+ Fenstersystem Rahmenprofil (ohne Dreifachverglasung)</t>
  </si>
  <si>
    <t>Schüco AWS 90.SI+ frame profile for windows without triple glazing</t>
  </si>
  <si>
    <t>'Komponenten von Fenstern und Vorhangfassaden' / 'Rahmen / Profile' / 'Aluminium thermisch getrennt'</t>
  </si>
  <si>
    <t>'Components for windows and curtain walls' / 'Frames / Profiles' / 'Aluminium thermally separated'</t>
  </si>
  <si>
    <t>'EN 15804' / 'ISO 14025'</t>
  </si>
  <si>
    <t>AT</t>
  </si>
  <si>
    <t>https://www.oekobaudat.de/OEKOBAU.DAT/resource/processes/2a007a28-73b0-44ab-8c0e-1c514d480b46?version=00.00.026</t>
  </si>
  <si>
    <t>AluKönigStahl GmbH</t>
  </si>
  <si>
    <t>BAU-EPD-ALUKÖNIGSTAHL-2020-1-ECOINVENT-ADS-ADUP</t>
  </si>
  <si>
    <t>Bau EPD GmbH</t>
  </si>
  <si>
    <t>e87ba4c4-436d-4d68-9282-3b21f179aa83</t>
  </si>
  <si>
    <t>Schüco AWS 90 SI+ Fenstersystem Rahmenprofil (ohne Dreifachverglasung)</t>
  </si>
  <si>
    <t>kk 2022-04-19: according to dataset: Als funktionale Einheit wurde ein (virtueller) m² Rahmen festgelegt. Es handelt sich dabei nicht um die Menge 
Rahmen pro m² Produkt, sondern um 1 m² Verglasung bzw. um einen (virtuellen) m² Rahmen, d.h. ein beispielsweise 10 cm breiter und 1 m langer Rahmen wird mit dem Faktor 10 auf 1 m² Rahmen umgerechnet.</t>
  </si>
  <si>
    <t>Schüco AWS 90.si+</t>
  </si>
  <si>
    <t>According to Ökobaudat, thermal values and frame hight according to PHI certification</t>
  </si>
  <si>
    <t>Energy balance</t>
  </si>
  <si>
    <t>Opaque assemblies</t>
  </si>
  <si>
    <t>Areas and assemblies</t>
  </si>
  <si>
    <t>Area</t>
  </si>
  <si>
    <t>Transparent components</t>
  </si>
  <si>
    <t>Energy service</t>
  </si>
  <si>
    <t>Energy construction</t>
  </si>
  <si>
    <r>
      <t>CO</t>
    </r>
    <r>
      <rPr>
        <vertAlign val="subscript"/>
        <sz val="8"/>
        <rFont val="Arial"/>
        <family val="2"/>
      </rPr>
      <t>2eq</t>
    </r>
    <r>
      <rPr>
        <sz val="8"/>
        <rFont val="Arial"/>
        <family val="2"/>
      </rPr>
      <t>/m²]</t>
    </r>
  </si>
  <si>
    <t>Reduction factor</t>
  </si>
  <si>
    <t xml:space="preserve"> ft [-]</t>
  </si>
  <si>
    <t>GWP total</t>
  </si>
  <si>
    <t>kWh</t>
  </si>
  <si>
    <r>
      <t>CO</t>
    </r>
    <r>
      <rPr>
        <vertAlign val="subscript"/>
        <sz val="8"/>
        <rFont val="Arial"/>
        <family val="2"/>
      </rPr>
      <t>2eq</t>
    </r>
    <r>
      <rPr>
        <sz val="8"/>
        <rFont val="Arial"/>
        <family val="2"/>
      </rPr>
      <t>/m²</t>
    </r>
  </si>
  <si>
    <r>
      <t>CO</t>
    </r>
    <r>
      <rPr>
        <vertAlign val="subscript"/>
        <sz val="8"/>
        <rFont val="Arial"/>
        <family val="2"/>
      </rPr>
      <t>2eq</t>
    </r>
  </si>
  <si>
    <t>g-value</t>
  </si>
  <si>
    <t>Transmission</t>
  </si>
  <si>
    <t>Sum</t>
  </si>
  <si>
    <r>
      <t>b</t>
    </r>
    <r>
      <rPr>
        <b/>
        <vertAlign val="subscript"/>
        <sz val="8"/>
        <rFont val="Arial"/>
        <family val="2"/>
      </rPr>
      <t>f</t>
    </r>
  </si>
  <si>
    <t>Profile length</t>
  </si>
  <si>
    <t>Delta-U thermal bridges</t>
  </si>
  <si>
    <r>
      <t>Sum [m²</t>
    </r>
    <r>
      <rPr>
        <b/>
        <vertAlign val="subscript"/>
        <sz val="11"/>
        <color theme="1"/>
        <rFont val="Calibri"/>
        <family val="2"/>
        <scheme val="minor"/>
      </rPr>
      <t>TFA</t>
    </r>
    <r>
      <rPr>
        <b/>
        <sz val="11"/>
        <color theme="1"/>
        <rFont val="Calibri"/>
        <family val="2"/>
        <scheme val="minor"/>
      </rPr>
      <t>]</t>
    </r>
  </si>
  <si>
    <t xml:space="preserve">Treated floor area </t>
  </si>
  <si>
    <r>
      <t>m²</t>
    </r>
    <r>
      <rPr>
        <b/>
        <vertAlign val="subscript"/>
        <sz val="10"/>
        <rFont val="Arial"/>
        <family val="2"/>
      </rPr>
      <t>TFA</t>
    </r>
  </si>
  <si>
    <r>
      <t>h</t>
    </r>
    <r>
      <rPr>
        <vertAlign val="subscript"/>
        <sz val="10"/>
        <rFont val="Arial"/>
        <family val="2"/>
      </rPr>
      <t>HR,eff</t>
    </r>
  </si>
  <si>
    <t>Effective heat recovery efficiency</t>
  </si>
  <si>
    <t>m³/h</t>
  </si>
  <si>
    <t>Thermal capacity of air</t>
  </si>
  <si>
    <t>Vent. Losses</t>
  </si>
  <si>
    <t>Window frames</t>
  </si>
  <si>
    <t>Delta-U thermal bridges (installation)</t>
  </si>
  <si>
    <t>Rahmenfläche</t>
  </si>
  <si>
    <t>Mittlere Rahmenbreite</t>
  </si>
  <si>
    <r>
      <t>Recuction factor f</t>
    </r>
    <r>
      <rPr>
        <vertAlign val="subscript"/>
        <sz val="8"/>
        <rFont val="Arial"/>
        <family val="2"/>
      </rPr>
      <t>t</t>
    </r>
    <r>
      <rPr>
        <sz val="8"/>
        <rFont val="Arial"/>
        <family val="2"/>
      </rPr>
      <t xml:space="preserve"> [-] 1,0 to ambient air; 0,6 to ground; 0 interior construction</t>
    </r>
  </si>
  <si>
    <t>ft</t>
  </si>
  <si>
    <r>
      <t>f</t>
    </r>
    <r>
      <rPr>
        <vertAlign val="subscript"/>
        <sz val="8"/>
        <rFont val="Arial"/>
        <family val="2"/>
      </rPr>
      <t>t</t>
    </r>
    <r>
      <rPr>
        <sz val="8"/>
        <rFont val="Arial"/>
        <family val="2"/>
      </rPr>
      <t xml:space="preserve"> [-]</t>
    </r>
  </si>
  <si>
    <t>Exterior wall, Lime-Sand stone, EPS</t>
  </si>
  <si>
    <t>Flor slab, Concrete, XPS</t>
  </si>
  <si>
    <t>02 Exterior wall, Lime-Sand stone, EPS</t>
  </si>
  <si>
    <t>Roof, Cellulose</t>
  </si>
  <si>
    <t>03 Roof, Cellulose</t>
  </si>
  <si>
    <t>Wall to neighbour</t>
  </si>
  <si>
    <t>04 Wall to neighbour</t>
  </si>
  <si>
    <t>Interior ceiling</t>
  </si>
  <si>
    <t>abc6d78d-f274-4400-8f31-fe8d4c2949c9</t>
  </si>
  <si>
    <t>Zementestrich</t>
  </si>
  <si>
    <t>Cement screed</t>
  </si>
  <si>
    <t>'Mineralische Baustoffe' / 'Mörtel und Beton' / 'Estrich trocken'</t>
  </si>
  <si>
    <t>'Mineral building products' / 'Mortar and Concrete' / 'Screed dry mortar'</t>
  </si>
  <si>
    <t>https://www.oekobaudat.de/OEKOBAU.DAT/resource/processes/abc6d78d-f274-4400-8f31-fe8d4c2949c9?version=20.21.060</t>
  </si>
  <si>
    <t>0be5ba26-743d-4866-bd41-08462ed62584</t>
  </si>
  <si>
    <t>324-EPS-Hartschaum (grau) mit Wärmestrahlungsabsorber; 16,6 kg/m³; 0,035 W/(mK); 60 years</t>
  </si>
  <si>
    <t>05 Interior ceiling</t>
  </si>
  <si>
    <t>Interior wall</t>
  </si>
  <si>
    <t>06 Interior wall</t>
  </si>
  <si>
    <t>06 Triple low-e</t>
  </si>
  <si>
    <t>a6d60a75-7a4e-4dfc-87cc-fd40f68d279a</t>
  </si>
  <si>
    <t>Dachziegel (inklusive Zubehör)</t>
  </si>
  <si>
    <t>Roofing tiles (including accessories)</t>
  </si>
  <si>
    <t>'Mineral building products' / 'Bricks, blocks and elements' / 'Ceramic roof tile'</t>
  </si>
  <si>
    <t>https://www.oekobaudat.de/OEKOBAU.DAT/resource/processes/a6d60a75-7a4e-4dfc-87cc-fd40f68d279a?version=00.01.000</t>
  </si>
  <si>
    <t>EPD-BDZ-20210268-IBG2-DE</t>
  </si>
  <si>
    <t>4ad5e2ae-b68f-dd54-1b34-143dee9c5ec2</t>
  </si>
  <si>
    <t>Ventillation loses</t>
  </si>
  <si>
    <t>kWh/a</t>
  </si>
  <si>
    <t>Transmis-sion losses</t>
  </si>
  <si>
    <t>01 Flor slab, Concrete, XPS</t>
  </si>
  <si>
    <t>Internal gains</t>
  </si>
  <si>
    <t>Heating period (days)</t>
  </si>
  <si>
    <t>Heating period</t>
  </si>
  <si>
    <t>Internal gains [W/m²]</t>
  </si>
  <si>
    <t>Dwelling</t>
  </si>
  <si>
    <t>Nursing home / Students</t>
  </si>
  <si>
    <t>Office</t>
  </si>
  <si>
    <t>School</t>
  </si>
  <si>
    <t>Other</t>
  </si>
  <si>
    <t>Int. gains W/m²</t>
  </si>
  <si>
    <t>Utilisation pattern</t>
  </si>
  <si>
    <t>Heating energy</t>
  </si>
  <si>
    <t>kh/d</t>
  </si>
  <si>
    <t>Materialeditor</t>
  </si>
  <si>
    <t>Data</t>
  </si>
  <si>
    <t>ArmaPET® Eco50</t>
  </si>
  <si>
    <t>ISO 14025 and EN 15804+A1</t>
  </si>
  <si>
    <t>Institut Bauen und Umwelt e.V. (IBU)</t>
  </si>
  <si>
    <t>EPD-ARM-20210263-IAA1-EN</t>
  </si>
  <si>
    <t>ArmaStruct250</t>
  </si>
  <si>
    <t>Smartwin Solar</t>
  </si>
  <si>
    <t>Spruce/fir frame, special corner conection works as glass carrier (side/top profile)</t>
  </si>
  <si>
    <t>PU insulation</t>
  </si>
  <si>
    <t>Wood fiber</t>
  </si>
  <si>
    <t>Leightweight timber wall Cellulose</t>
  </si>
  <si>
    <t>Leightweight timber wall Mineral wool</t>
  </si>
  <si>
    <t>Leightweight timber wall Straw</t>
  </si>
  <si>
    <t>EIFS Phenol</t>
  </si>
  <si>
    <t>EIFS Mineral faser</t>
  </si>
  <si>
    <t>05 PH Ti-Alu integral with PU insulation</t>
  </si>
  <si>
    <t>1 / 0</t>
  </si>
  <si>
    <t>EPS-foam (grey) with radiation absorber</t>
  </si>
  <si>
    <t>Aluminium profile coated</t>
  </si>
  <si>
    <t>Float glass  - Guardian - Float glass uncoated</t>
  </si>
  <si>
    <t>Float glass  - Guardian - Float glass coated</t>
  </si>
  <si>
    <t>UD_Steel reinforced concrete 100 kg steel</t>
  </si>
  <si>
    <t>Reinforcement steel</t>
  </si>
  <si>
    <t>Concrete, class C 35/45</t>
  </si>
  <si>
    <t>Adobe brick</t>
  </si>
  <si>
    <t>Gypsum fibreboard (thickness 0.01 m)</t>
  </si>
  <si>
    <t>Sawn spruce (12% moisture/10.7% H2O)</t>
  </si>
  <si>
    <t>Glulam Softwood</t>
  </si>
  <si>
    <t>CLT cross-laminated timber</t>
  </si>
  <si>
    <t>Wood fiber board</t>
  </si>
  <si>
    <t>Wood fibre insulation board (wet process)</t>
  </si>
  <si>
    <t>Cement-bonded particleboard</t>
  </si>
  <si>
    <t>Cellulose fibre blow-in insulation material</t>
  </si>
  <si>
    <t>FASBA e.V. Construction Straw</t>
  </si>
  <si>
    <t>PU insulation boards with 50 µm aluminium top layer</t>
  </si>
  <si>
    <t>FOAMGLAS® W+F and FOAMGLAS® T3+</t>
  </si>
  <si>
    <t>GLAPOR foamglass</t>
  </si>
  <si>
    <t>Clay plaster</t>
  </si>
  <si>
    <t>001-EPS-foam (grey) with radiation absorber; 16.6 kg/m³; 0.032 W/(mK); 40 years</t>
  </si>
  <si>
    <t>002-Mineral wool (flat roof insulation); 145 kg/m³; 0.035 W/(mK); 40 years</t>
  </si>
  <si>
    <t>Sand-lime brick 2022</t>
  </si>
  <si>
    <t>Aerated concrete P2 04 non-reinforced 2022</t>
  </si>
  <si>
    <t>007-Cellulose fibre blow-in insulation material; 45 kg/m³; 0.04 W/(mK); 40 years</t>
  </si>
  <si>
    <t>004-Wood fiber insulation - dry process (German average); 50 kg/m³; 0.045 W/(mK); 40 years</t>
  </si>
  <si>
    <t>010-Aerated concrete P2 04 non-reinforced 2022; 300 kg/m³; 0.07 W/(mK); 80 years</t>
  </si>
  <si>
    <t>003-Mineral wool (pitched roof insulation); 30 kg/m³; 0.035 W/(mK); 40 years</t>
  </si>
  <si>
    <t>006-FASBA e.V. Construction Straw; 100 kg/m³; 0.049 W/(mK); 40 years</t>
  </si>
  <si>
    <t>005-Phenolic foam; 40 kg/m³; 0.022 W/(mK); 40 years</t>
  </si>
  <si>
    <t>Konstruktionsbeton C35/45 (m³) | Stahl Draht</t>
  </si>
  <si>
    <t>Konstruktionsvollholz (generisch, 15% Feuchte / 13% H2O)  2022</t>
  </si>
  <si>
    <t>015-Cement screed; 2400 kg/m³; 1.6 W/(mK); 60 years</t>
  </si>
  <si>
    <t>324-EPS-foam (grey) with radiation absorber; 16.6 kg/m³; 0.035 W/(mK); 60 years</t>
  </si>
  <si>
    <t>013-UD_Steel reinforced concrete 100 kg steel; 2469.42675159236 kg/m³; 0.07 W/(mK); 80 years</t>
  </si>
  <si>
    <t>322-Extruded polystyrene (XPS); 39 kg/m³; 0.036 W/(mK); 80 years</t>
  </si>
  <si>
    <t>016-Gypsum interior plaster; 900 kg/m³; 0.54 W/(mK); 40 years</t>
  </si>
  <si>
    <t>011-Brick (filled with insulating material); 575 kg/m³; 0 W/(mK); 80 years</t>
  </si>
  <si>
    <t>009-Sand-lime brick 2022; 2000 kg/m³; 1 W/(mK); 80 years</t>
  </si>
  <si>
    <t>019-Glue for ETICS</t>
  </si>
  <si>
    <t>017-Lime-cement plaster; 1800 kg/m³; 1 W/(mK); 40 years</t>
  </si>
  <si>
    <t>004-Wood fiber insulation - dry process (German average); 150.76 kg/m³; 0.045 W/(mK); 40 years</t>
  </si>
  <si>
    <t>112-Gypsum plaster board (impregnated, 12.5 mm);  kg/m³; 0.25 W/(mK); 40 years</t>
  </si>
  <si>
    <t>024-Oriented Strand Board (German average); 600 kg/m³; 0.13 W/(mK); 80 years</t>
  </si>
  <si>
    <t>325-Roofing tiles (including accessories); 2020 kg/m³;  W/(mK); 80 years</t>
  </si>
  <si>
    <t>328-Mineral wool (flat roof insulation); 145 kg/m³; 0.045 W/(mK); 80 years</t>
  </si>
  <si>
    <t>011-Brick (filled with insulating material); 575 kg/m³; 0.07 W/(mK); 80 years</t>
  </si>
  <si>
    <t>012-Brick (unfilled); 575 kg/m³; 0.5 W/(mK); 80 years</t>
  </si>
  <si>
    <t>022-Solid construction timber (generic, 15% moisture / 13% H2O content); 529 kg/m³; 0.13 W/(mK); 80 years</t>
  </si>
  <si>
    <t>027-Extruded polystyrene (XPS); 32 kg/m³; 0.035 W/(mK); 40 years</t>
  </si>
  <si>
    <t>200-Window glass, single;  kg/m³;  W/(mK); 40 years</t>
  </si>
  <si>
    <t>201-Insulated glazing, double pane;  kg/m³;  W/(mK); 40 years</t>
  </si>
  <si>
    <t>202-Insulated glazing, triple pane;  kg/m³;  W/(mK); 40 years</t>
  </si>
  <si>
    <t>203-Glass - Bundesverband Flachglas e.V. - Toughened safety glass; 2500 kg/m³;  W/(mK); 40 years</t>
  </si>
  <si>
    <t>305-Application primer water based (windows, white); 1150 kg/m³;  W/(mK); 40 years</t>
  </si>
  <si>
    <t>306-Application intermediate coating water based (windows, white); 1150 kg/m³;  W/(mK); 40 years</t>
  </si>
  <si>
    <t>307-Application top-coating water based (windows, white); 1150 kg/m³;  W/(mK); 10 years</t>
  </si>
  <si>
    <t>303-Silicone sealing compound; 1100 kg/m³;  W/(mK); 40 years</t>
  </si>
  <si>
    <t>304-Steel section; 7850 kg/m³;  W/(mK); 40 years</t>
  </si>
  <si>
    <t>314-PIR high-density foam; 400 kg/m³;  W/(mK); 40 years</t>
  </si>
  <si>
    <t>309-Aluminium profile coated; 2700 kg/m³;  W/(mK); 40 years</t>
  </si>
  <si>
    <t>310-Extruded polystyrene (XPS); 39 kg/m³; 0.035 W/(mK); 40 years</t>
  </si>
  <si>
    <t>311-Cable duct PVC, rigid; 1400 kg/m³;  W/(mK); 40 years</t>
  </si>
  <si>
    <t>312-Polyester resin laminated part (GFRP, 30% glass fibres); 1400 kg/m³;  W/(mK); 40 years</t>
  </si>
  <si>
    <t>319-Window sash PVC-U;  kg/m³;  W/(mK); 40 years</t>
  </si>
  <si>
    <t>320-Window frame PVC-U;  kg/m³;  W/(mK); 40 years</t>
  </si>
  <si>
    <t>321-Schüco AWS 90.SI+ frame profile for windows without triple glazing;  kg/m³;  W/(mK); 40 years</t>
  </si>
  <si>
    <t>Average air- flow rate</t>
  </si>
  <si>
    <t>About the tool</t>
  </si>
  <si>
    <t>Use the tool to</t>
  </si>
  <si>
    <r>
      <t>Assess and compare single materials regarding manufacturing energy and CO</t>
    </r>
    <r>
      <rPr>
        <vertAlign val="subscript"/>
        <sz val="11"/>
        <color theme="1"/>
        <rFont val="Calibri"/>
        <family val="2"/>
        <scheme val="minor"/>
      </rPr>
      <t>2</t>
    </r>
  </si>
  <si>
    <r>
      <t>Assess and compare opaque assemblies regarding manufacturing and operational energy and CO</t>
    </r>
    <r>
      <rPr>
        <vertAlign val="subscript"/>
        <sz val="11"/>
        <color theme="1"/>
        <rFont val="Calibri"/>
        <family val="2"/>
        <scheme val="minor"/>
      </rPr>
      <t>2</t>
    </r>
  </si>
  <si>
    <r>
      <t>Assess and compare glazing and window frame regarding manufacturing and operational energy and CO</t>
    </r>
    <r>
      <rPr>
        <vertAlign val="subscript"/>
        <sz val="11"/>
        <color theme="1"/>
        <rFont val="Calibri"/>
        <family val="2"/>
        <scheme val="minor"/>
      </rPr>
      <t>2</t>
    </r>
  </si>
  <si>
    <r>
      <t>Assess whole buildings regarding manufacturing and operational energy as well as CO</t>
    </r>
    <r>
      <rPr>
        <vertAlign val="subscript"/>
        <sz val="11"/>
        <color theme="1"/>
        <rFont val="Calibri"/>
        <family val="2"/>
        <scheme val="minor"/>
      </rPr>
      <t>2</t>
    </r>
  </si>
  <si>
    <t>How to use the tool</t>
  </si>
  <si>
    <t>Select a window frame and the respective profile length. If you want to use the length from PHPP, calculate sum them up from the installation length in the Window-sheet or divide the frame area by an average frame width. In PHPP 10, you can sum up the length directly.</t>
  </si>
  <si>
    <t>Copy data from ÖKOBAUDAT into the sheet “ÖKOBAUDAT” (download the latest ÖKOBAUDAT CSV-file from https://www.oekobaudat.de/en/service/downloads.html) or</t>
  </si>
  <si>
    <t>Put data from EPDs manually in the sheet “ÖKOBAUDAT”</t>
  </si>
  <si>
    <t>Select materials in column “Material” in the sheet “Material editor”</t>
  </si>
  <si>
    <t xml:space="preserve">Add service life and thermal conductivity. </t>
  </si>
  <si>
    <t>Adjust thickness and density if needed. Beware of correct conversion, for automatically conversion does not work in all cases.</t>
  </si>
  <si>
    <t xml:space="preserve">Put your wall, roof etc. together in the sheet “Opaque assemblies”. </t>
  </si>
  <si>
    <t>Use the reduction factor of 1, if the assembly is to ambient air, 0.6, if to ground and 0 if it is an interior construction, which only counts to manufacturing energy, but not to operational energy.</t>
  </si>
  <si>
    <t>Use “Count” to define with “1”;”0”, if a material should count to embodied energy (e.g. “0” for the existing building structure in retrofits).</t>
  </si>
  <si>
    <t>Set up the energy balance including manufacturing energy and CO2 of a building in the sheet “Balance”.</t>
  </si>
  <si>
    <t>Choose your climate. You can define own climates in the “Date”-sheet. Simply copy the figures from PHPP.</t>
  </si>
  <si>
    <t>Set your utilisation pattern.</t>
  </si>
  <si>
    <t>If you define “yes” for including stored energy, the calorific energy bound chemically in the materials will be included in the manufacturing energy. For this energy will not transformed during the service life thus will be available afterwards, PHI recommends to choose “no”.</t>
  </si>
  <si>
    <t>Consideration period and the start of the period. You can define the CO2 factors and their degression in the “Data”-sheet.</t>
  </si>
  <si>
    <t>Choose your heating system, the SPF of the heat pump (if applicable) and the distribution energy.</t>
  </si>
  <si>
    <t>Write down the treated floor area, e.g. from PHPPs Area-sheet.</t>
  </si>
  <si>
    <t>Define your ventilation by putting in the effective heat recovery efficiency as well as the average airflow rate. Use figures from PHPP e.g.</t>
  </si>
  <si>
    <t>Select now the opaque assemblies and type in their respective areas, e.g. from PHPPs Area-sheet.</t>
  </si>
  <si>
    <t>Select your glazing, respective orientation and glazing areas, e.g. from PHPPs Window-sheet.</t>
  </si>
  <si>
    <t>Example</t>
  </si>
  <si>
    <t>Meaning</t>
  </si>
  <si>
    <t>Input field: Please enter the required value here</t>
  </si>
  <si>
    <t>Data entry field with drop down list</t>
  </si>
  <si>
    <t>Calculation field; please do not change</t>
  </si>
  <si>
    <t>Field with reference to another worksheet</t>
  </si>
  <si>
    <t>Important result</t>
  </si>
  <si>
    <t>015-Cement screed</t>
  </si>
  <si>
    <t>●</t>
  </si>
  <si>
    <t>○</t>
  </si>
  <si>
    <t>outphit – Deep retrofits made faster, cheaper and more reliable</t>
  </si>
  <si>
    <t xml:space="preserve">outPHit pairs such approaches with the rigour of Passive House principles to make deep retrofits cost-effective, faster and more reliable. On the basis of case studies across Europe and in collaboration with a wide variety of stakeholders, outPHit is addressing barriers to the uptake of high quality deep retrofits while facilitating the development of high performance renovation systems, tools for decision making and quality assurance safeguards. </t>
  </si>
  <si>
    <t>outphit.eu</t>
  </si>
  <si>
    <t xml:space="preserve">This project has received funding from the European Union’s Horizon 2020 research and innovation programme under grant agreement No 957175. The presented contents are the author's sole responsibility and do not necessarily reflect the views of the European Union. Neither the CINEA nor the European Commission are responsible for any use that may be made of the information contained therein.
</t>
  </si>
  <si>
    <t>outPHit Manufacturing-Energy-Tool v. 1.0</t>
  </si>
  <si>
    <t>8d06b1df-e898-4009-adee-57ca44aaafcc</t>
  </si>
  <si>
    <t>00.05.000</t>
  </si>
  <si>
    <t>BauderTHERMOFOL</t>
  </si>
  <si>
    <t>BauderTHERMOFOL U / M</t>
  </si>
  <si>
    <t>'Kunststoffe' / 'Dachbahnen' / 'PVC-Dachbahnen'</t>
  </si>
  <si>
    <t>'Plastics' / 'Roofing membranes' / 'PVC sheet'</t>
  </si>
  <si>
    <t>https://www.oekobaudat.de/OEKOBAU.DAT/resource/processes/8d06b1df-e898-4009-adee-57ca44aaafcc?version=00.05.000</t>
  </si>
  <si>
    <t>Paul Bauder GmbH &amp; Co. KG</t>
  </si>
  <si>
    <t>d21fe6c4-dcef-bd20-9458-9aad442df0c8</t>
  </si>
  <si>
    <t>1 m² BauderTHERMOFOL U (12/15/18/20/24)</t>
  </si>
  <si>
    <t>Test</t>
  </si>
  <si>
    <t>014-BauderTHERMOFOL U / M; 100 kg/m³; 2.1 W/(mK); 45 years</t>
  </si>
  <si>
    <t>Ventilation</t>
  </si>
  <si>
    <t>1-Frankfurt/Main (DE)</t>
  </si>
  <si>
    <t>5-Other</t>
  </si>
  <si>
    <t>03 Double low-e</t>
  </si>
  <si>
    <t>DEUTSCHE ROCKWOOL GmbH &amp; Co. KG</t>
  </si>
  <si>
    <t>published on</t>
  </si>
  <si>
    <t>registration office</t>
  </si>
  <si>
    <t>referenc size</t>
  </si>
  <si>
    <t>reference unit</t>
  </si>
  <si>
    <t>Reference name?</t>
  </si>
  <si>
    <t>Density</t>
  </si>
  <si>
    <t>Wieght per unit area</t>
  </si>
  <si>
    <t>bulk density</t>
  </si>
  <si>
    <t>Yield (m²)</t>
  </si>
  <si>
    <t>conversion factor to 1 kg</t>
  </si>
  <si>
    <t>ML Heizw.</t>
  </si>
  <si>
    <t>ML</t>
  </si>
  <si>
    <t>ReferenzLahr</t>
  </si>
  <si>
    <t>thermal conductivity (W/m.K)</t>
  </si>
  <si>
    <t>ROCKWOOL stone wool Thermal Insulation</t>
  </si>
  <si>
    <t>EN 15804 and ISO 14025</t>
  </si>
  <si>
    <t>https://www.rockwool.com/siteassets/o2-rockwool/documentation/epd/rockwool-stone-wool-environmental-product-declaration-epd.pdf</t>
  </si>
  <si>
    <t>ROCKWOOL International A/S (Rockwool North America)</t>
  </si>
  <si>
    <t>EPD-RWI-20190075-CCD1-EN</t>
  </si>
  <si>
    <t>1 unit with R= 1 m²K/W</t>
  </si>
  <si>
    <t>Morgane Picot</t>
  </si>
  <si>
    <t>ROCKWOOL stone wool insulation materials in the high bulk density range</t>
  </si>
  <si>
    <t>EN 15804</t>
  </si>
  <si>
    <t>https://www.rockwool.com/siteassets/rw-d/nachhaltigkeit-und-gebaudezertifizierungen/umwelt-produktdeklarationen-epd/wu-epd-high-density-rockwool.pdf?f=2020051307274627,08,2018</t>
  </si>
  <si>
    <t>27.08.2018</t>
  </si>
  <si>
    <t>EPD-DRW-20180119-IBC1-E</t>
  </si>
  <si>
    <t>4788703029.101.1</t>
  </si>
  <si>
    <t>Light and heavy density mineral wool board</t>
  </si>
  <si>
    <t>ISO 14025</t>
  </si>
  <si>
    <t>https://www.jm.com/content/dam/jm/global/en/building-insulation/Files/BI%20Toolbox/Mineral-Wool-Environmental-Product-Declaration.pdf</t>
  </si>
  <si>
    <t>North American Insulation Manufacturers Association</t>
  </si>
  <si>
    <t>UL Environment</t>
  </si>
  <si>
    <t>ROCKWOOL® Stone Wool Thermal Insulation</t>
  </si>
  <si>
    <t>EN 15804  ISO 14025</t>
  </si>
  <si>
    <t>https://www.igbc.ie/wp-content/uploads/2017/10/EPD-RW-UK_WER.pdf</t>
  </si>
  <si>
    <t>ROCKWOOL Limited</t>
  </si>
  <si>
    <t>MineralwolleDämmstoff im niedrigen Rohdichtebereich</t>
  </si>
  <si>
    <t>EN 15804 ISO 14025:201</t>
  </si>
  <si>
    <t>https://oekobaudat.de/OEKOBAU.DAT/resource/sources/b603677e-62d8-41b8-bc5e-3d1e6e51a18b/Mineralwolle-Daemmstoff_im_niedrigen_Rohdichtebereich_13341.pdf?version=00.02.000</t>
  </si>
  <si>
    <t>FMI Fachverband Mineralwolleindustrie e.V.</t>
  </si>
  <si>
    <t>EPDFMI20210020IBG1DE</t>
  </si>
  <si>
    <t>MineralwolleDämmstoff im mittleren Rohdichtebereich</t>
  </si>
  <si>
    <t>https://oekobaudat.de/OEKOBAU.DAT/resource/sources/35080cac-916a-43c6-b09f-57d2821a3139/Mineralwolle-Daemmstoff_im_mittleren_Rohdichtebereich_13320.pdf?version=00.01.000</t>
  </si>
  <si>
    <t>EPDFMI20210019IBG1DE</t>
  </si>
  <si>
    <t>MineralwolleDämmstoff im hohen Rohdichtebereich</t>
  </si>
  <si>
    <t>https://oekobaudat.de/OEKOBAU.DAT/resource/sources/4680c298-5924-4f9a-9896-2db11f093209/Mineralwolle-Daemmstoff_im_hohen_Rohdichtebereich_13342.pdf?version=00.01.000</t>
  </si>
  <si>
    <t>EPDFMI20210021IBG1DE</t>
  </si>
  <si>
    <t>ROCKWOOL® International A/S</t>
  </si>
  <si>
    <t>Panneaux de lamelles de bois minces orientées OSB (oriented strand board) de type 3 (panneaux travaillants utilisés en milieu humide)</t>
  </si>
  <si>
    <t>NF EN 15804+A1 et NF EN 15804/C</t>
  </si>
  <si>
    <t>https://www.base-inies.fr/iniesV4/dist/infos-produit</t>
  </si>
  <si>
    <t>Institut technologique FCBA,</t>
  </si>
  <si>
    <t>25.01.2022</t>
  </si>
  <si>
    <t>FDES</t>
  </si>
  <si>
    <t>a1-a3</t>
  </si>
  <si>
    <t>NORTH AMERICAN ORIENTED STRAND BOARD</t>
  </si>
  <si>
    <t xml:space="preserve">ISO 14025:2006 and ISO 21930:2017 </t>
  </si>
  <si>
    <t>https://awc.org/wp-content/uploads/2021/11/AWC_EPD_NorthAmericanOrientedStrandBoard_20200605.pdf</t>
  </si>
  <si>
    <t>American and Canadian Wood Council</t>
  </si>
  <si>
    <t>4788424634.101.1</t>
  </si>
  <si>
    <t>UL Environmen</t>
  </si>
  <si>
    <t>OSB (Norbord sites)</t>
  </si>
  <si>
    <t>iso 14025 and en 15804</t>
  </si>
  <si>
    <t>only available in  pdf</t>
  </si>
  <si>
    <t>Norbord europe Ltd</t>
  </si>
  <si>
    <t>31.01.2020</t>
  </si>
  <si>
    <t>S-P-01850</t>
  </si>
  <si>
    <t>enivrondec</t>
  </si>
  <si>
    <t>Fritz EGGER GmbH &amp; Co. OG Holzwerkstoffe</t>
  </si>
  <si>
    <t>/ISO 14025/ and /EN 15804</t>
  </si>
  <si>
    <t>https://www.egger.com/get_download/0b9a6cee-8a7b-47c6-a1e8-a1eb855cce32/Environmental_product_declaration_OSB.pdf</t>
  </si>
  <si>
    <t>03.09.2018</t>
  </si>
  <si>
    <t>EPD-EGG-20180107-IBD1-EN</t>
  </si>
  <si>
    <t>IBU</t>
  </si>
  <si>
    <t>1 m3 of Oriented Strand Board produced in North America (US and CA</t>
  </si>
  <si>
    <t>UK</t>
  </si>
  <si>
    <t>USA</t>
  </si>
  <si>
    <t>FR</t>
  </si>
  <si>
    <t>US</t>
  </si>
  <si>
    <t>Mineral wool</t>
  </si>
  <si>
    <t>Plywood</t>
  </si>
  <si>
    <t>WISA Birch plywood, uncoated</t>
  </si>
  <si>
    <t xml:space="preserve">EN 15804:2012+A1:2013 and ISO 14025 </t>
  </si>
  <si>
    <t>25.2.2019</t>
  </si>
  <si>
    <t>https://www.wisaplywood.com/siteassets/documents/certificates/rts-epd-19-19_upm_plywood_wisa_birch__uncoated_signed.pdf</t>
  </si>
  <si>
    <t>UPM Plywood Oy</t>
  </si>
  <si>
    <t>RTS_19_19</t>
  </si>
  <si>
    <t>Building Information Foundation RTS</t>
  </si>
  <si>
    <t>exterioir plywood</t>
  </si>
  <si>
    <t xml:space="preserve">SO 14025:2006, EN 15804:2013 and PCR 2012:01 </t>
  </si>
  <si>
    <t>8.12.2017</t>
  </si>
  <si>
    <t>https://api.environdec.com/api/v1/EPDLibrary/Files/cd0ad1c8-7fd0-4c68-b8f0-08d8d1855218/Data</t>
  </si>
  <si>
    <t>Forest and Wood Products Australia Ltd</t>
  </si>
  <si>
    <t>S-P-00564</t>
  </si>
  <si>
    <t>hinkstep Pty Ltd</t>
  </si>
  <si>
    <t>formwood</t>
  </si>
  <si>
    <t>plywood flooring</t>
  </si>
  <si>
    <t>Raw birch plywood (Riga Ply) with lignin based glue RIGA ECOlogical</t>
  </si>
  <si>
    <t>ISO 14025 and EN 15804</t>
  </si>
  <si>
    <t>10.01.2020</t>
  </si>
  <si>
    <t>https://www.finieris.com/docs/Produkti/sertifikati/LF-Riga-Ecological-EPD.pdf</t>
  </si>
  <si>
    <t>AS Latvijas Finieris</t>
  </si>
  <si>
    <t>S-P-02273</t>
  </si>
  <si>
    <t>EPD International AB</t>
  </si>
  <si>
    <t>Plywood pure glue PG-B (8.5mm and 5 layers)</t>
  </si>
  <si>
    <t>SO 14025, ISO 14040, ISO 14044 and EN 15804</t>
  </si>
  <si>
    <t>24.09.2019</t>
  </si>
  <si>
    <t>https://www.panguaneta.com/component/phocadownload/category/9-products?download=66:epd-naf</t>
  </si>
  <si>
    <t>Panguaneta S.p.a.</t>
  </si>
  <si>
    <t>S-P-01711</t>
  </si>
  <si>
    <t>environdec</t>
  </si>
  <si>
    <t>Panneau de contreplaqué en pin maritime et résine phénolique (PF), fabriqué en France, pour contreventement</t>
  </si>
  <si>
    <t>EN ISO 14025:2010</t>
  </si>
  <si>
    <t>3-170:2019</t>
  </si>
  <si>
    <t>inies</t>
  </si>
  <si>
    <t>cc180aec-8a5c-4e07-b1a0-1ab81dd746ac</t>
  </si>
  <si>
    <t>20.20.120</t>
  </si>
  <si>
    <t>Plywood board (generic); 5% moisture</t>
  </si>
  <si>
    <t>din en 15804</t>
  </si>
  <si>
    <t>https://oekobaudat.de/OEKOBAU.DAT/datasetdetail/process.xhtml?uuid=cc180aec-8a5c-4e07-b1a0-1ab81dd746ac&amp;version=20.20.120&amp;stock=OBD_2021_II&amp;lang=en</t>
  </si>
  <si>
    <t>oekobaudat</t>
  </si>
  <si>
    <t>3.2.02</t>
  </si>
  <si>
    <t>North American Softwood Plywood</t>
  </si>
  <si>
    <t>ISO 14040/44 [10, 11], ISO 21930 [12] and EN15804</t>
  </si>
  <si>
    <t>01.07.2020</t>
  </si>
  <si>
    <t>https://corrim.org/wp-content/uploads/2020/06/AWC_EPD_NorthAmericanSoftwoodPlywood_20200605.pdf</t>
  </si>
  <si>
    <t>american and Canadian wood council</t>
  </si>
  <si>
    <t>4788424634.103.1</t>
  </si>
  <si>
    <t>exterior plywood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</si>
</sst>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quot;_-;\-* #,##0.00\ &quot;€&quot;_-;_-* &quot;-&quot;??\ &quot;€&quot;_-;_-@_-"/>
    <numFmt numFmtId="165" formatCode="0.000"/>
    <numFmt numFmtId="166" formatCode="0.0"/>
    <numFmt numFmtId="167" formatCode="0.0%"/>
  </numFmts>
  <fonts count="62" x14ac:knownFonts="1">
    <font>
      <sz val="11"/>
      <color theme="1"/>
      <name val="Calibri"/>
      <family val="2"/>
      <scheme val="minor"/>
    </font>
    <font>
      <b/>
      <sz val="11"/>
      <color theme="1"/>
      <name val="Calibri"/>
      <family val="2"/>
      <scheme val="minor"/>
    </font>
    <font>
      <sz val="10"/>
      <name val="MS Sans Serif"/>
      <family val="2"/>
    </font>
    <font>
      <sz val="8"/>
      <name val="Arial"/>
      <family val="2"/>
    </font>
    <font>
      <vertAlign val="subscript"/>
      <sz val="8"/>
      <name val="Arial"/>
      <family val="2"/>
    </font>
    <font>
      <sz val="10"/>
      <color indexed="8"/>
      <name val="Arial"/>
      <family val="2"/>
    </font>
    <font>
      <sz val="8"/>
      <name val="Symbol"/>
      <family val="1"/>
      <charset val="2"/>
    </font>
    <font>
      <sz val="6"/>
      <name val="Arial"/>
      <family val="2"/>
    </font>
    <font>
      <b/>
      <sz val="10"/>
      <color indexed="12"/>
      <name val="Arial"/>
      <family val="2"/>
    </font>
    <font>
      <b/>
      <sz val="14"/>
      <color indexed="8"/>
      <name val="Arial"/>
      <family val="2"/>
    </font>
    <font>
      <b/>
      <sz val="10"/>
      <name val="Arial"/>
      <family val="2"/>
    </font>
    <font>
      <b/>
      <sz val="16"/>
      <name val="Arial"/>
      <family val="2"/>
    </font>
    <font>
      <sz val="11"/>
      <name val="Symbol"/>
      <family val="1"/>
      <charset val="2"/>
    </font>
    <font>
      <sz val="11"/>
      <name val="Arial"/>
      <family val="2"/>
    </font>
    <font>
      <vertAlign val="subscript"/>
      <sz val="11"/>
      <color theme="1"/>
      <name val="Calibri"/>
      <family val="2"/>
      <scheme val="minor"/>
    </font>
    <font>
      <sz val="10"/>
      <name val="Arial"/>
      <family val="2"/>
    </font>
    <font>
      <sz val="11"/>
      <color theme="1"/>
      <name val="Calibri"/>
      <family val="2"/>
      <scheme val="minor"/>
    </font>
    <font>
      <b/>
      <vertAlign val="subscript"/>
      <sz val="11"/>
      <color theme="1"/>
      <name val="Calibri"/>
      <family val="2"/>
      <scheme val="minor"/>
    </font>
    <font>
      <i/>
      <sz val="8"/>
      <name val="Arial"/>
      <family val="2"/>
    </font>
    <font>
      <b/>
      <sz val="12"/>
      <name val="Arial"/>
      <family val="2"/>
    </font>
    <font>
      <b/>
      <sz val="10"/>
      <color indexed="12"/>
      <name val="Courier New"/>
      <family val="3"/>
    </font>
    <font>
      <sz val="10"/>
      <color indexed="12"/>
      <name val="Courier New"/>
      <family val="3"/>
    </font>
    <font>
      <sz val="12"/>
      <name val="Arial"/>
      <family val="2"/>
    </font>
    <font>
      <sz val="12"/>
      <name val="Symbol"/>
      <family val="1"/>
      <charset val="2"/>
    </font>
    <font>
      <vertAlign val="subscript"/>
      <sz val="10"/>
      <name val="Arial"/>
      <family val="2"/>
    </font>
    <font>
      <i/>
      <vertAlign val="subscript"/>
      <sz val="8"/>
      <name val="Arial"/>
      <family val="2"/>
    </font>
    <font>
      <b/>
      <sz val="10"/>
      <color indexed="10"/>
      <name val="Arial"/>
      <family val="2"/>
    </font>
    <font>
      <sz val="10"/>
      <color indexed="8"/>
      <name val="Segoe UI"/>
      <family val="2"/>
    </font>
    <font>
      <b/>
      <sz val="8"/>
      <name val="Arial"/>
      <family val="2"/>
    </font>
    <font>
      <sz val="10"/>
      <color theme="1"/>
      <name val="Arial"/>
      <family val="2"/>
    </font>
    <font>
      <sz val="10"/>
      <color indexed="61"/>
      <name val="Arial"/>
      <family val="2"/>
    </font>
    <font>
      <sz val="8"/>
      <color theme="1"/>
      <name val="Arial"/>
      <family val="2"/>
    </font>
    <font>
      <sz val="9"/>
      <color indexed="81"/>
      <name val="Segoe UI"/>
      <family val="2"/>
    </font>
    <font>
      <b/>
      <sz val="10"/>
      <color theme="1"/>
      <name val="Arial"/>
      <family val="2"/>
    </font>
    <font>
      <vertAlign val="subscript"/>
      <sz val="8"/>
      <color theme="1"/>
      <name val="Arial"/>
      <family val="2"/>
    </font>
    <font>
      <b/>
      <sz val="8"/>
      <color rgb="FFFF0000"/>
      <name val="Arial"/>
      <family val="2"/>
    </font>
    <font>
      <sz val="12"/>
      <color indexed="8"/>
      <name val="Arial"/>
      <family val="2"/>
    </font>
    <font>
      <b/>
      <sz val="12"/>
      <color indexed="8"/>
      <name val="Arial"/>
      <family val="2"/>
    </font>
    <font>
      <u/>
      <sz val="11"/>
      <color theme="10"/>
      <name val="Calibri"/>
      <family val="2"/>
      <scheme val="minor"/>
    </font>
    <font>
      <b/>
      <sz val="12"/>
      <color theme="1"/>
      <name val="Calibri"/>
      <family val="2"/>
      <scheme val="minor"/>
    </font>
    <font>
      <b/>
      <sz val="12"/>
      <color theme="1"/>
      <name val="Arial"/>
      <family val="2"/>
    </font>
    <font>
      <b/>
      <vertAlign val="subscript"/>
      <sz val="8"/>
      <name val="Arial"/>
      <family val="2"/>
    </font>
    <font>
      <b/>
      <vertAlign val="subscript"/>
      <sz val="10"/>
      <name val="Arial"/>
      <family val="2"/>
    </font>
    <font>
      <sz val="10"/>
      <name val="Symbol"/>
      <family val="1"/>
      <charset val="2"/>
    </font>
    <font>
      <b/>
      <sz val="20"/>
      <color rgb="FF99CC00"/>
      <name val="Arial"/>
      <family val="2"/>
    </font>
    <font>
      <sz val="10"/>
      <name val="Helv"/>
    </font>
    <font>
      <b/>
      <sz val="12"/>
      <color indexed="12"/>
      <name val="Courier New"/>
      <family val="3"/>
    </font>
    <font>
      <sz val="12"/>
      <color indexed="61"/>
      <name val="Arial"/>
      <family val="2"/>
    </font>
    <font>
      <sz val="11"/>
      <color theme="1"/>
      <name val="Arial"/>
      <family val="2"/>
    </font>
    <font>
      <b/>
      <sz val="11"/>
      <color rgb="FF99CC00"/>
      <name val="Calibri"/>
      <family val="2"/>
      <scheme val="minor"/>
    </font>
    <font>
      <sz val="10"/>
      <color theme="1"/>
      <name val="Calibri"/>
      <family val="2"/>
      <scheme val="minor"/>
    </font>
    <font>
      <i/>
      <sz val="10"/>
      <color theme="1"/>
      <name val="Arial"/>
      <family val="2"/>
    </font>
    <font>
      <i/>
      <sz val="10"/>
      <name val="Arial"/>
      <family val="2"/>
    </font>
    <font>
      <b/>
      <i/>
      <sz val="10"/>
      <color indexed="12"/>
      <name val="Courier New"/>
      <family val="3"/>
    </font>
    <font>
      <i/>
      <sz val="10"/>
      <color indexed="61"/>
      <name val="Arial"/>
      <family val="2"/>
    </font>
    <font>
      <sz val="11"/>
      <color rgb="FF9C6500"/>
      <name val="Calibri"/>
      <family val="2"/>
      <scheme val="minor"/>
    </font>
    <font>
      <sz val="11"/>
      <name val="Calibri"/>
      <family val="2"/>
      <scheme val="minor"/>
    </font>
    <font>
      <b/>
      <sz val="9"/>
      <color indexed="81"/>
      <name val="Tahoma"/>
      <family val="2"/>
    </font>
    <font>
      <sz val="9"/>
      <color indexed="81"/>
      <name val="Tahoma"/>
      <family val="2"/>
    </font>
    <font>
      <b/>
      <sz val="11"/>
      <color rgb="FFFF0000"/>
      <name val="Calibri"/>
      <family val="2"/>
      <scheme val="minor"/>
    </font>
    <font>
      <b/>
      <sz val="11"/>
      <name val="Calibri"/>
      <family val="2"/>
      <scheme val="minor"/>
    </font>
    <font>
      <u/>
      <sz val="11"/>
      <name val="Calibri"/>
      <family val="2"/>
      <scheme val="minor"/>
    </font>
  </fonts>
  <fills count="10">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rgb="FFFFFFCC"/>
        <bgColor indexed="64"/>
      </patternFill>
    </fill>
    <fill>
      <patternFill patternType="solid">
        <fgColor indexed="47"/>
        <bgColor indexed="64"/>
      </patternFill>
    </fill>
    <fill>
      <patternFill patternType="solid">
        <fgColor rgb="FFFFCC99"/>
        <bgColor indexed="64"/>
      </patternFill>
    </fill>
    <fill>
      <patternFill patternType="solid">
        <fgColor rgb="FFFFEB9C"/>
      </patternFill>
    </fill>
    <fill>
      <patternFill patternType="solid">
        <fgColor theme="1"/>
        <bgColor indexed="64"/>
      </patternFill>
    </fill>
    <fill>
      <patternFill patternType="solid">
        <fgColor rgb="FFFF0000"/>
        <bgColor indexed="64"/>
      </patternFill>
    </fill>
  </fills>
  <borders count="71">
    <border>
      <left/>
      <right/>
      <top/>
      <bottom/>
      <diagonal/>
    </border>
    <border>
      <left/>
      <right/>
      <top style="medium">
        <color indexed="64"/>
      </top>
      <bottom/>
      <diagonal/>
    </border>
    <border>
      <left style="hair">
        <color indexed="12"/>
      </left>
      <right/>
      <top style="hair">
        <color indexed="12"/>
      </top>
      <bottom style="hair">
        <color indexed="12"/>
      </bottom>
      <diagonal/>
    </border>
    <border>
      <left style="hair">
        <color indexed="12"/>
      </left>
      <right style="hair">
        <color indexed="12"/>
      </right>
      <top style="hair">
        <color indexed="12"/>
      </top>
      <bottom style="hair">
        <color indexed="1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hair">
        <color indexed="12"/>
      </left>
      <right style="hair">
        <color indexed="12"/>
      </right>
      <top style="hair">
        <color indexed="12"/>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hair">
        <color indexed="12"/>
      </top>
      <bottom style="hair">
        <color indexed="12"/>
      </bottom>
      <diagonal/>
    </border>
    <border>
      <left/>
      <right style="hair">
        <color indexed="12"/>
      </right>
      <top style="hair">
        <color indexed="12"/>
      </top>
      <bottom style="hair">
        <color indexed="12"/>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12"/>
      </left>
      <right style="thin">
        <color indexed="64"/>
      </right>
      <top style="hair">
        <color indexed="12"/>
      </top>
      <bottom style="hair">
        <color indexed="12"/>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12"/>
      </left>
      <right style="thin">
        <color indexed="64"/>
      </right>
      <top style="hair">
        <color indexed="12"/>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12"/>
      </bottom>
      <diagonal/>
    </border>
    <border>
      <left style="hair">
        <color indexed="12"/>
      </left>
      <right/>
      <top style="hair">
        <color indexed="12"/>
      </top>
      <bottom/>
      <diagonal/>
    </border>
    <border>
      <left/>
      <right style="hair">
        <color indexed="12"/>
      </right>
      <top style="hair">
        <color indexed="12"/>
      </top>
      <bottom/>
      <diagonal/>
    </border>
    <border>
      <left/>
      <right/>
      <top/>
      <bottom style="hair">
        <color indexed="64"/>
      </bottom>
      <diagonal/>
    </border>
    <border>
      <left/>
      <right/>
      <top/>
      <bottom style="hair">
        <color rgb="FF0000FF"/>
      </bottom>
      <diagonal/>
    </border>
    <border>
      <left style="hair">
        <color rgb="FF0000FF"/>
      </left>
      <right/>
      <top style="hair">
        <color rgb="FF0000FF"/>
      </top>
      <bottom style="hair">
        <color rgb="FF0000FF"/>
      </bottom>
      <diagonal/>
    </border>
    <border>
      <left/>
      <right/>
      <top style="hair">
        <color rgb="FF0000FF"/>
      </top>
      <bottom style="hair">
        <color rgb="FF0000FF"/>
      </bottom>
      <diagonal/>
    </border>
    <border>
      <left/>
      <right style="hair">
        <color rgb="FF0000FF"/>
      </right>
      <top style="hair">
        <color rgb="FF0000FF"/>
      </top>
      <bottom style="hair">
        <color rgb="FF0000FF"/>
      </bottom>
      <diagonal/>
    </border>
    <border>
      <left/>
      <right style="hair">
        <color indexed="64"/>
      </right>
      <top style="hair">
        <color indexed="64"/>
      </top>
      <bottom/>
      <diagonal/>
    </border>
    <border>
      <left/>
      <right style="hair">
        <color indexed="12"/>
      </right>
      <top style="hair">
        <color rgb="FF0000FF"/>
      </top>
      <bottom style="hair">
        <color rgb="FF0000FF"/>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right style="hair">
        <color indexed="64"/>
      </right>
      <top style="hair">
        <color rgb="FF0000FF"/>
      </top>
      <bottom/>
      <diagonal/>
    </border>
    <border>
      <left/>
      <right style="hair">
        <color indexed="64"/>
      </right>
      <top/>
      <bottom/>
      <diagonal/>
    </border>
    <border>
      <left style="hair">
        <color indexed="12"/>
      </left>
      <right/>
      <top style="hair">
        <color rgb="FF0000FF"/>
      </top>
      <bottom style="hair">
        <color rgb="FF0000FF"/>
      </bottom>
      <diagonal/>
    </border>
    <border>
      <left/>
      <right style="hair">
        <color indexed="64"/>
      </right>
      <top style="hair">
        <color indexed="64"/>
      </top>
      <bottom style="thin">
        <color indexed="64"/>
      </bottom>
      <diagonal/>
    </border>
    <border>
      <left/>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ck">
        <color rgb="FF99CC00"/>
      </bottom>
      <diagonal/>
    </border>
    <border>
      <left/>
      <right/>
      <top style="thick">
        <color rgb="FF99CC00"/>
      </top>
      <bottom style="thick">
        <color rgb="FF99CC00"/>
      </bottom>
      <diagonal/>
    </border>
    <border>
      <left style="hair">
        <color indexed="12"/>
      </left>
      <right/>
      <top style="hair">
        <color indexed="12"/>
      </top>
      <bottom style="hair">
        <color rgb="FF0000FF"/>
      </bottom>
      <diagonal/>
    </border>
    <border>
      <left/>
      <right style="hair">
        <color indexed="12"/>
      </right>
      <top style="hair">
        <color indexed="12"/>
      </top>
      <bottom style="hair">
        <color rgb="FF0000FF"/>
      </bottom>
      <diagonal/>
    </border>
    <border>
      <left style="hair">
        <color indexed="64"/>
      </left>
      <right/>
      <top style="hair">
        <color rgb="FF0000FF"/>
      </top>
      <bottom/>
      <diagonal/>
    </border>
    <border>
      <left style="hair">
        <color indexed="64"/>
      </left>
      <right/>
      <top style="hair">
        <color indexed="12"/>
      </top>
      <bottom style="hair">
        <color indexed="12"/>
      </bottom>
      <diagonal/>
    </border>
    <border>
      <left style="double">
        <color indexed="64"/>
      </left>
      <right style="double">
        <color indexed="64"/>
      </right>
      <top style="double">
        <color indexed="64"/>
      </top>
      <bottom style="double">
        <color indexed="64"/>
      </bottom>
      <diagonal/>
    </border>
  </borders>
  <cellStyleXfs count="9">
    <xf numFmtId="0" fontId="0" fillId="0" borderId="0"/>
    <xf numFmtId="0" fontId="2" fillId="0" borderId="0"/>
    <xf numFmtId="0" fontId="2" fillId="0" borderId="0"/>
    <xf numFmtId="0" fontId="2" fillId="0" borderId="0"/>
    <xf numFmtId="164" fontId="16" fillId="0" borderId="0" applyFont="0" applyFill="0" applyBorder="0" applyAlignment="0" applyProtection="0"/>
    <xf numFmtId="9" fontId="16" fillId="0" borderId="0" applyFont="0" applyFill="0" applyBorder="0" applyAlignment="0" applyProtection="0"/>
    <xf numFmtId="0" fontId="38" fillId="0" borderId="0" applyNumberFormat="0" applyFill="0" applyBorder="0" applyAlignment="0" applyProtection="0"/>
    <xf numFmtId="0" fontId="45" fillId="0" borderId="0"/>
    <xf numFmtId="0" fontId="55" fillId="7" borderId="0" applyNumberFormat="0" applyBorder="0" applyAlignment="0" applyProtection="0"/>
  </cellStyleXfs>
  <cellXfs count="449">
    <xf numFmtId="0" fontId="0" fillId="0" borderId="0" xfId="0"/>
    <xf numFmtId="0" fontId="3" fillId="0" borderId="0" xfId="1" quotePrefix="1" applyFont="1" applyFill="1" applyBorder="1" applyAlignment="1" applyProtection="1">
      <alignment horizontal="right" vertical="center"/>
    </xf>
    <xf numFmtId="0" fontId="3" fillId="0" borderId="0" xfId="1" quotePrefix="1" applyFont="1" applyFill="1" applyBorder="1" applyAlignment="1" applyProtection="1">
      <alignment horizontal="left" vertical="center"/>
    </xf>
    <xf numFmtId="0" fontId="3" fillId="0" borderId="0" xfId="1" applyFont="1" applyFill="1" applyBorder="1" applyAlignment="1" applyProtection="1">
      <alignment horizontal="left"/>
    </xf>
    <xf numFmtId="0" fontId="6" fillId="0" borderId="0" xfId="1" applyFont="1" applyFill="1" applyBorder="1" applyAlignment="1" applyProtection="1">
      <alignment horizontal="center"/>
    </xf>
    <xf numFmtId="0" fontId="3" fillId="0" borderId="0" xfId="0" applyFont="1" applyBorder="1" applyProtection="1"/>
    <xf numFmtId="165" fontId="8" fillId="2" borderId="2" xfId="3" applyNumberFormat="1" applyFont="1" applyFill="1" applyBorder="1" applyAlignment="1" applyProtection="1">
      <alignment horizontal="left" vertical="center" wrapText="1"/>
      <protection locked="0"/>
    </xf>
    <xf numFmtId="1" fontId="8" fillId="2" borderId="3" xfId="3" applyNumberFormat="1" applyFont="1" applyFill="1" applyBorder="1" applyAlignment="1" applyProtection="1">
      <alignment horizontal="center" vertical="center"/>
      <protection locked="0"/>
    </xf>
    <xf numFmtId="0" fontId="3" fillId="0" borderId="4" xfId="1" applyFont="1" applyFill="1" applyBorder="1" applyProtection="1"/>
    <xf numFmtId="166" fontId="9" fillId="3" borderId="5" xfId="3" applyNumberFormat="1" applyFont="1" applyFill="1" applyBorder="1" applyAlignment="1" applyProtection="1">
      <alignment horizontal="centerContinuous" vertical="center"/>
    </xf>
    <xf numFmtId="0" fontId="3" fillId="0" borderId="4" xfId="1" applyFont="1" applyFill="1" applyBorder="1" applyAlignment="1" applyProtection="1">
      <alignment vertical="center"/>
    </xf>
    <xf numFmtId="0" fontId="10" fillId="0" borderId="0" xfId="1" applyFont="1" applyFill="1" applyBorder="1" applyAlignment="1" applyProtection="1">
      <alignment horizontal="right" vertical="center"/>
    </xf>
    <xf numFmtId="2" fontId="5" fillId="0" borderId="0" xfId="2" applyNumberFormat="1" applyFont="1" applyBorder="1" applyAlignment="1" applyProtection="1">
      <alignment horizontal="center" vertical="center"/>
    </xf>
    <xf numFmtId="0" fontId="11" fillId="0" borderId="1" xfId="0" applyFont="1" applyBorder="1"/>
    <xf numFmtId="0" fontId="1" fillId="0" borderId="0" xfId="0" applyFont="1"/>
    <xf numFmtId="0" fontId="0" fillId="0" borderId="6" xfId="0" applyBorder="1"/>
    <xf numFmtId="0" fontId="0" fillId="0" borderId="7" xfId="0" applyBorder="1"/>
    <xf numFmtId="0" fontId="0" fillId="0" borderId="8" xfId="0" applyBorder="1"/>
    <xf numFmtId="0" fontId="0" fillId="0" borderId="9" xfId="0" applyBorder="1"/>
    <xf numFmtId="0" fontId="0" fillId="0" borderId="4" xfId="0" applyBorder="1"/>
    <xf numFmtId="0" fontId="0" fillId="0" borderId="0" xfId="0" applyBorder="1"/>
    <xf numFmtId="0" fontId="0" fillId="0" borderId="10" xfId="0" applyBorder="1"/>
    <xf numFmtId="0" fontId="0" fillId="0" borderId="11" xfId="0" applyBorder="1"/>
    <xf numFmtId="0" fontId="0" fillId="0" borderId="12" xfId="0" applyBorder="1"/>
    <xf numFmtId="0" fontId="1" fillId="0" borderId="0" xfId="0" applyFont="1" applyBorder="1"/>
    <xf numFmtId="2" fontId="0" fillId="0" borderId="0" xfId="0" applyNumberFormat="1" applyBorder="1" applyAlignment="1">
      <alignment horizontal="center"/>
    </xf>
    <xf numFmtId="0" fontId="0" fillId="0" borderId="5" xfId="0" applyBorder="1" applyAlignment="1">
      <alignment horizontal="center"/>
    </xf>
    <xf numFmtId="0" fontId="0" fillId="0" borderId="5" xfId="0" applyBorder="1"/>
    <xf numFmtId="2" fontId="0" fillId="0" borderId="5" xfId="0" applyNumberFormat="1" applyBorder="1" applyAlignment="1">
      <alignment horizontal="center"/>
    </xf>
    <xf numFmtId="0" fontId="1" fillId="0" borderId="13" xfId="0" applyFont="1" applyBorder="1"/>
    <xf numFmtId="0" fontId="1" fillId="0" borderId="13" xfId="0" applyFont="1" applyBorder="1" applyAlignment="1">
      <alignment horizontal="center"/>
    </xf>
    <xf numFmtId="0" fontId="1" fillId="0" borderId="11" xfId="0" applyFont="1" applyBorder="1"/>
    <xf numFmtId="0" fontId="0" fillId="0" borderId="11" xfId="0" applyBorder="1" applyAlignment="1">
      <alignment horizontal="center"/>
    </xf>
    <xf numFmtId="0" fontId="1" fillId="0" borderId="15" xfId="0" applyFont="1" applyBorder="1"/>
    <xf numFmtId="0" fontId="0" fillId="0" borderId="15" xfId="0" applyBorder="1" applyAlignment="1">
      <alignment horizontal="center"/>
    </xf>
    <xf numFmtId="166" fontId="0" fillId="0" borderId="5" xfId="0" applyNumberFormat="1" applyBorder="1" applyAlignment="1">
      <alignment horizontal="center"/>
    </xf>
    <xf numFmtId="165" fontId="0" fillId="0" borderId="5" xfId="0" applyNumberFormat="1" applyBorder="1" applyAlignment="1">
      <alignment horizontal="center"/>
    </xf>
    <xf numFmtId="0" fontId="0" fillId="0" borderId="14" xfId="0" applyBorder="1"/>
    <xf numFmtId="165" fontId="0" fillId="0" borderId="14" xfId="0" applyNumberFormat="1" applyBorder="1" applyAlignment="1">
      <alignment horizontal="center"/>
    </xf>
    <xf numFmtId="0" fontId="12" fillId="0" borderId="13" xfId="1" applyFont="1" applyFill="1" applyBorder="1" applyAlignment="1" applyProtection="1">
      <alignment horizontal="center"/>
    </xf>
    <xf numFmtId="166" fontId="8" fillId="2" borderId="3" xfId="3" applyNumberFormat="1" applyFont="1" applyFill="1" applyBorder="1" applyAlignment="1" applyProtection="1">
      <alignment horizontal="center" vertical="center"/>
      <protection locked="0"/>
    </xf>
    <xf numFmtId="2" fontId="8" fillId="2" borderId="3" xfId="3" applyNumberFormat="1" applyFont="1" applyFill="1" applyBorder="1" applyAlignment="1" applyProtection="1">
      <alignment horizontal="center" vertical="center"/>
      <protection locked="0"/>
    </xf>
    <xf numFmtId="165" fontId="8" fillId="2" borderId="2" xfId="3" applyNumberFormat="1" applyFont="1" applyFill="1" applyBorder="1" applyAlignment="1" applyProtection="1">
      <alignment horizontal="center" vertical="center" wrapText="1"/>
      <protection locked="0"/>
    </xf>
    <xf numFmtId="0" fontId="15" fillId="0" borderId="9" xfId="1" applyFont="1" applyFill="1" applyBorder="1" applyAlignment="1" applyProtection="1">
      <alignment horizontal="center" vertical="center"/>
    </xf>
    <xf numFmtId="166" fontId="8" fillId="2" borderId="16" xfId="3" applyNumberFormat="1" applyFont="1" applyFill="1" applyBorder="1" applyAlignment="1" applyProtection="1">
      <alignment horizontal="center" vertical="center"/>
      <protection locked="0"/>
    </xf>
    <xf numFmtId="165" fontId="0" fillId="4" borderId="5" xfId="0" applyNumberFormat="1" applyFill="1" applyBorder="1" applyAlignment="1">
      <alignment horizontal="center"/>
    </xf>
    <xf numFmtId="1" fontId="0" fillId="0" borderId="5" xfId="0" applyNumberFormat="1" applyBorder="1" applyAlignment="1">
      <alignment horizontal="center"/>
    </xf>
    <xf numFmtId="2" fontId="9" fillId="3" borderId="5" xfId="3" applyNumberFormat="1" applyFont="1" applyFill="1" applyBorder="1" applyAlignment="1" applyProtection="1">
      <alignment horizontal="centerContinuous" vertical="center"/>
    </xf>
    <xf numFmtId="164" fontId="0" fillId="0" borderId="5" xfId="4" applyFont="1" applyBorder="1" applyAlignment="1">
      <alignment horizontal="center"/>
    </xf>
    <xf numFmtId="164" fontId="0" fillId="0" borderId="18" xfId="4" applyFont="1" applyBorder="1" applyAlignment="1">
      <alignment horizontal="center"/>
    </xf>
    <xf numFmtId="0" fontId="0" fillId="0" borderId="17" xfId="0" applyBorder="1"/>
    <xf numFmtId="164" fontId="0" fillId="0" borderId="0" xfId="0" applyNumberFormat="1"/>
    <xf numFmtId="9" fontId="8" fillId="2" borderId="3" xfId="5" applyFont="1" applyFill="1" applyBorder="1" applyAlignment="1" applyProtection="1">
      <alignment horizontal="center" vertical="center"/>
      <protection locked="0"/>
    </xf>
    <xf numFmtId="2" fontId="8" fillId="2" borderId="5" xfId="3" applyNumberFormat="1" applyFont="1" applyFill="1" applyBorder="1" applyAlignment="1" applyProtection="1">
      <alignment horizontal="center" vertical="center"/>
      <protection locked="0"/>
    </xf>
    <xf numFmtId="164" fontId="0" fillId="0" borderId="5" xfId="0" applyNumberFormat="1" applyBorder="1"/>
    <xf numFmtId="0" fontId="0" fillId="0" borderId="14" xfId="0" applyBorder="1" applyAlignment="1">
      <alignment horizontal="center"/>
    </xf>
    <xf numFmtId="2" fontId="8" fillId="2" borderId="14" xfId="3" applyNumberFormat="1" applyFont="1" applyFill="1" applyBorder="1" applyAlignment="1" applyProtection="1">
      <alignment horizontal="center" vertical="center"/>
      <protection locked="0"/>
    </xf>
    <xf numFmtId="164" fontId="0" fillId="0" borderId="14" xfId="0" applyNumberFormat="1" applyBorder="1"/>
    <xf numFmtId="0" fontId="0" fillId="0" borderId="20" xfId="0" applyBorder="1" applyAlignment="1">
      <alignment horizontal="center"/>
    </xf>
    <xf numFmtId="0" fontId="1" fillId="0" borderId="19" xfId="0" applyFont="1" applyBorder="1" applyAlignment="1">
      <alignment horizontal="center"/>
    </xf>
    <xf numFmtId="2" fontId="0" fillId="0" borderId="0" xfId="0" applyNumberFormat="1" applyAlignment="1">
      <alignment horizontal="center"/>
    </xf>
    <xf numFmtId="0" fontId="15" fillId="0" borderId="0" xfId="1" applyFont="1" applyFill="1" applyBorder="1" applyProtection="1"/>
    <xf numFmtId="0" fontId="15" fillId="0" borderId="6" xfId="1" applyFont="1" applyFill="1" applyBorder="1" applyProtection="1"/>
    <xf numFmtId="0" fontId="15" fillId="0" borderId="7" xfId="1" applyFont="1" applyFill="1" applyBorder="1" applyProtection="1"/>
    <xf numFmtId="0" fontId="15" fillId="0" borderId="8" xfId="1" applyFont="1" applyFill="1" applyBorder="1" applyProtection="1"/>
    <xf numFmtId="0" fontId="15" fillId="5" borderId="0" xfId="1" applyFont="1" applyFill="1" applyProtection="1"/>
    <xf numFmtId="0" fontId="0" fillId="5" borderId="0" xfId="0" applyFill="1"/>
    <xf numFmtId="0" fontId="15" fillId="0" borderId="0" xfId="1" applyFont="1" applyProtection="1"/>
    <xf numFmtId="0" fontId="3" fillId="0" borderId="0" xfId="1" applyFont="1" applyFill="1" applyBorder="1" applyAlignment="1" applyProtection="1">
      <alignment vertical="center"/>
    </xf>
    <xf numFmtId="0" fontId="19" fillId="0" borderId="9" xfId="1" applyFont="1" applyFill="1" applyBorder="1" applyProtection="1"/>
    <xf numFmtId="0" fontId="20" fillId="2" borderId="3" xfId="3" applyFont="1" applyFill="1" applyBorder="1" applyAlignment="1" applyProtection="1">
      <alignment horizontal="center" vertical="center"/>
      <protection locked="0"/>
    </xf>
    <xf numFmtId="0" fontId="20" fillId="2" borderId="2" xfId="3" applyFont="1" applyFill="1" applyBorder="1" applyAlignment="1" applyProtection="1">
      <alignment horizontal="left" vertical="center"/>
      <protection locked="0"/>
    </xf>
    <xf numFmtId="0" fontId="21" fillId="2" borderId="21" xfId="3" applyFont="1" applyFill="1" applyBorder="1" applyAlignment="1" applyProtection="1">
      <alignment horizontal="left" vertical="center"/>
      <protection locked="0"/>
    </xf>
    <xf numFmtId="0" fontId="21" fillId="2" borderId="22" xfId="3" applyFont="1" applyFill="1" applyBorder="1" applyAlignment="1" applyProtection="1">
      <alignment horizontal="left" vertical="center"/>
      <protection locked="0"/>
    </xf>
    <xf numFmtId="0" fontId="15" fillId="0" borderId="0" xfId="0" applyFont="1" applyBorder="1" applyProtection="1"/>
    <xf numFmtId="0" fontId="15" fillId="0" borderId="4" xfId="1" applyFont="1" applyFill="1" applyBorder="1" applyProtection="1"/>
    <xf numFmtId="0" fontId="19" fillId="5" borderId="0" xfId="1" applyFont="1" applyFill="1" applyProtection="1"/>
    <xf numFmtId="0" fontId="15" fillId="0" borderId="9" xfId="1" applyFont="1" applyFill="1" applyBorder="1" applyProtection="1"/>
    <xf numFmtId="0" fontId="3" fillId="0" borderId="0" xfId="1" applyFont="1" applyFill="1" applyBorder="1" applyAlignment="1" applyProtection="1">
      <alignment vertical="top"/>
    </xf>
    <xf numFmtId="2" fontId="20" fillId="2" borderId="3" xfId="3" applyNumberFormat="1" applyFont="1" applyFill="1" applyBorder="1" applyAlignment="1" applyProtection="1">
      <alignment horizontal="center" vertical="center"/>
      <protection locked="0"/>
    </xf>
    <xf numFmtId="0" fontId="22" fillId="5" borderId="23" xfId="1" applyFont="1" applyFill="1" applyBorder="1" applyAlignment="1" applyProtection="1">
      <alignment horizontal="centerContinuous"/>
    </xf>
    <xf numFmtId="0" fontId="22" fillId="5" borderId="24" xfId="1" applyFont="1" applyFill="1" applyBorder="1" applyAlignment="1" applyProtection="1">
      <alignment horizontal="centerContinuous"/>
    </xf>
    <xf numFmtId="0" fontId="23" fillId="5" borderId="23" xfId="1" applyFont="1" applyFill="1" applyBorder="1" applyAlignment="1" applyProtection="1">
      <alignment horizontal="centerContinuous"/>
    </xf>
    <xf numFmtId="0" fontId="15" fillId="5" borderId="23" xfId="1" applyFont="1" applyFill="1" applyBorder="1" applyAlignment="1" applyProtection="1">
      <alignment horizontal="centerContinuous"/>
    </xf>
    <xf numFmtId="0" fontId="15" fillId="5" borderId="25" xfId="1" applyFont="1" applyFill="1" applyBorder="1" applyAlignment="1" applyProtection="1">
      <alignment horizontal="centerContinuous"/>
    </xf>
    <xf numFmtId="0" fontId="15" fillId="5" borderId="24" xfId="1" applyFont="1" applyFill="1" applyBorder="1" applyAlignment="1" applyProtection="1">
      <alignment horizontal="centerContinuous"/>
    </xf>
    <xf numFmtId="0" fontId="22" fillId="5" borderId="0" xfId="1" applyFont="1" applyFill="1" applyAlignment="1" applyProtection="1">
      <alignment horizontal="right"/>
    </xf>
    <xf numFmtId="0" fontId="22" fillId="5" borderId="0" xfId="1" applyFont="1" applyFill="1" applyProtection="1"/>
    <xf numFmtId="0" fontId="3" fillId="0" borderId="0" xfId="1" quotePrefix="1" applyFont="1" applyFill="1" applyBorder="1" applyAlignment="1" applyProtection="1">
      <alignment horizontal="left"/>
    </xf>
    <xf numFmtId="0" fontId="18" fillId="5" borderId="0" xfId="1" applyFont="1" applyFill="1" applyBorder="1" applyAlignment="1" applyProtection="1">
      <alignment horizontal="center"/>
    </xf>
    <xf numFmtId="0" fontId="18" fillId="5" borderId="0" xfId="1" applyFont="1" applyFill="1" applyAlignment="1" applyProtection="1">
      <alignment horizontal="center"/>
    </xf>
    <xf numFmtId="0" fontId="15" fillId="0" borderId="9" xfId="1" quotePrefix="1" applyFont="1" applyFill="1" applyBorder="1" applyAlignment="1" applyProtection="1">
      <alignment horizontal="right"/>
    </xf>
    <xf numFmtId="0" fontId="20" fillId="2" borderId="21" xfId="3" applyFont="1" applyFill="1" applyBorder="1" applyAlignment="1" applyProtection="1">
      <alignment horizontal="left" vertical="center"/>
      <protection locked="0"/>
    </xf>
    <xf numFmtId="165" fontId="20" fillId="2" borderId="3" xfId="3" applyNumberFormat="1" applyFont="1" applyFill="1" applyBorder="1" applyAlignment="1" applyProtection="1">
      <alignment horizontal="center" vertical="center"/>
      <protection locked="0"/>
    </xf>
    <xf numFmtId="1" fontId="20" fillId="2" borderId="3" xfId="3" applyNumberFormat="1" applyFont="1" applyFill="1" applyBorder="1" applyAlignment="1" applyProtection="1">
      <alignment horizontal="center" vertical="center"/>
      <protection locked="0"/>
    </xf>
    <xf numFmtId="2" fontId="15" fillId="5" borderId="26" xfId="1" applyNumberFormat="1" applyFont="1" applyFill="1" applyBorder="1" applyProtection="1"/>
    <xf numFmtId="0" fontId="15" fillId="5" borderId="26" xfId="1" applyFont="1" applyFill="1" applyBorder="1" applyAlignment="1" applyProtection="1">
      <alignment horizontal="right"/>
    </xf>
    <xf numFmtId="0" fontId="0" fillId="0" borderId="0" xfId="0" applyBorder="1" applyProtection="1"/>
    <xf numFmtId="0" fontId="18" fillId="5" borderId="0" xfId="1" applyFont="1" applyFill="1" applyAlignment="1" applyProtection="1">
      <alignment horizontal="right"/>
    </xf>
    <xf numFmtId="2" fontId="15" fillId="5" borderId="0" xfId="1" applyNumberFormat="1" applyFont="1" applyFill="1" applyProtection="1"/>
    <xf numFmtId="167" fontId="20" fillId="2" borderId="3" xfId="3" applyNumberFormat="1" applyFont="1" applyFill="1" applyBorder="1" applyAlignment="1" applyProtection="1">
      <alignment horizontal="center" vertical="center"/>
      <protection locked="0"/>
    </xf>
    <xf numFmtId="0" fontId="15" fillId="5" borderId="0" xfId="1" applyFont="1" applyFill="1" applyAlignment="1" applyProtection="1">
      <alignment horizontal="right"/>
    </xf>
    <xf numFmtId="0" fontId="15" fillId="5" borderId="0" xfId="1" applyNumberFormat="1" applyFont="1" applyFill="1" applyAlignment="1" applyProtection="1">
      <alignment horizontal="right"/>
    </xf>
    <xf numFmtId="2" fontId="22" fillId="5" borderId="0" xfId="1" applyNumberFormat="1" applyFont="1" applyFill="1" applyBorder="1" applyProtection="1"/>
    <xf numFmtId="0" fontId="15" fillId="0" borderId="10" xfId="1" applyFont="1" applyFill="1" applyBorder="1" applyProtection="1"/>
    <xf numFmtId="0" fontId="26" fillId="0" borderId="11" xfId="1" applyFont="1" applyBorder="1" applyProtection="1"/>
    <xf numFmtId="0" fontId="15" fillId="0" borderId="11" xfId="1" applyFont="1" applyFill="1" applyBorder="1" applyProtection="1"/>
    <xf numFmtId="0" fontId="15" fillId="0" borderId="11" xfId="1" applyFont="1" applyFill="1" applyBorder="1" applyAlignment="1" applyProtection="1">
      <alignment horizontal="right"/>
    </xf>
    <xf numFmtId="2" fontId="15" fillId="0" borderId="11" xfId="1" applyNumberFormat="1" applyFont="1" applyFill="1" applyBorder="1" applyProtection="1"/>
    <xf numFmtId="0" fontId="15" fillId="0" borderId="12" xfId="1" applyFont="1" applyFill="1" applyBorder="1" applyProtection="1"/>
    <xf numFmtId="167" fontId="15" fillId="5" borderId="0" xfId="1" applyNumberFormat="1" applyFont="1" applyFill="1" applyBorder="1" applyProtection="1"/>
    <xf numFmtId="0" fontId="15" fillId="5" borderId="0" xfId="1" applyFont="1" applyFill="1" applyBorder="1" applyAlignment="1" applyProtection="1">
      <alignment vertical="center"/>
    </xf>
    <xf numFmtId="165" fontId="0" fillId="0" borderId="0" xfId="0" applyNumberFormat="1"/>
    <xf numFmtId="1" fontId="0" fillId="0" borderId="0" xfId="0" applyNumberFormat="1"/>
    <xf numFmtId="0" fontId="3" fillId="0" borderId="7" xfId="1" applyFont="1" applyFill="1" applyBorder="1" applyAlignment="1" applyProtection="1">
      <alignment horizontal="left"/>
    </xf>
    <xf numFmtId="0" fontId="3" fillId="0" borderId="7" xfId="1" applyFont="1" applyFill="1" applyBorder="1" applyAlignment="1" applyProtection="1"/>
    <xf numFmtId="0" fontId="3" fillId="0" borderId="0" xfId="1" applyFont="1" applyFill="1" applyBorder="1" applyAlignment="1" applyProtection="1">
      <alignment horizontal="left" vertical="center"/>
    </xf>
    <xf numFmtId="0" fontId="22" fillId="5" borderId="0" xfId="1" applyFont="1" applyFill="1" applyBorder="1" applyAlignment="1" applyProtection="1">
      <alignment horizontal="centerContinuous"/>
    </xf>
    <xf numFmtId="0" fontId="23" fillId="5" borderId="0" xfId="1" applyFont="1" applyFill="1" applyBorder="1" applyAlignment="1" applyProtection="1">
      <alignment horizontal="centerContinuous"/>
    </xf>
    <xf numFmtId="0" fontId="15" fillId="5" borderId="0" xfId="1" applyFont="1" applyFill="1" applyBorder="1" applyAlignment="1" applyProtection="1">
      <alignment horizontal="centerContinuous"/>
    </xf>
    <xf numFmtId="0" fontId="3" fillId="0" borderId="0" xfId="1" quotePrefix="1" applyFont="1" applyFill="1" applyBorder="1" applyAlignment="1" applyProtection="1">
      <alignment horizontal="center"/>
    </xf>
    <xf numFmtId="0" fontId="28" fillId="0" borderId="0" xfId="1" quotePrefix="1" applyFont="1" applyFill="1" applyBorder="1" applyAlignment="1" applyProtection="1">
      <alignment horizontal="left" vertical="top"/>
    </xf>
    <xf numFmtId="0" fontId="3" fillId="0" borderId="0" xfId="1" quotePrefix="1" applyFont="1" applyFill="1" applyBorder="1" applyAlignment="1" applyProtection="1">
      <alignment horizontal="center" vertical="top" wrapText="1"/>
    </xf>
    <xf numFmtId="2" fontId="30" fillId="0" borderId="26" xfId="2" applyNumberFormat="1" applyFont="1" applyBorder="1" applyAlignment="1" applyProtection="1">
      <alignment horizontal="center" vertical="center"/>
    </xf>
    <xf numFmtId="2" fontId="15" fillId="0" borderId="26" xfId="2" applyNumberFormat="1" applyFont="1" applyBorder="1" applyAlignment="1" applyProtection="1">
      <alignment horizontal="center" vertical="center"/>
    </xf>
    <xf numFmtId="9" fontId="15" fillId="0" borderId="26" xfId="5" applyFont="1" applyBorder="1" applyAlignment="1" applyProtection="1">
      <alignment horizontal="center" vertical="center"/>
    </xf>
    <xf numFmtId="0" fontId="3" fillId="0" borderId="0" xfId="0" applyFont="1" applyBorder="1" applyAlignment="1" applyProtection="1">
      <alignment horizontal="left"/>
    </xf>
    <xf numFmtId="0" fontId="28" fillId="0" borderId="0" xfId="1" applyFont="1" applyFill="1" applyBorder="1" applyAlignment="1" applyProtection="1">
      <alignment horizontal="right" vertical="center"/>
    </xf>
    <xf numFmtId="0" fontId="31" fillId="0" borderId="9" xfId="0" applyFont="1" applyBorder="1" applyAlignment="1">
      <alignment vertical="center"/>
    </xf>
    <xf numFmtId="0" fontId="29" fillId="0" borderId="0" xfId="0" applyFont="1"/>
    <xf numFmtId="0" fontId="33" fillId="0" borderId="0" xfId="0" applyFont="1"/>
    <xf numFmtId="0" fontId="29" fillId="0" borderId="0" xfId="0" applyFont="1" applyAlignment="1">
      <alignment horizontal="center"/>
    </xf>
    <xf numFmtId="14" fontId="0" fillId="0" borderId="0" xfId="0" applyNumberFormat="1"/>
    <xf numFmtId="1" fontId="20" fillId="2" borderId="3" xfId="3" applyNumberFormat="1" applyFont="1" applyFill="1" applyBorder="1" applyAlignment="1" applyProtection="1">
      <alignment horizontal="left" vertical="center"/>
      <protection locked="0"/>
    </xf>
    <xf numFmtId="0" fontId="29" fillId="0" borderId="0" xfId="0" quotePrefix="1" applyFont="1"/>
    <xf numFmtId="166" fontId="30" fillId="0" borderId="26" xfId="2" applyNumberFormat="1" applyFont="1" applyBorder="1" applyAlignment="1" applyProtection="1">
      <alignment horizontal="center" vertical="center"/>
    </xf>
    <xf numFmtId="165" fontId="30" fillId="0" borderId="26" xfId="2" applyNumberFormat="1" applyFont="1" applyBorder="1" applyAlignment="1" applyProtection="1">
      <alignment horizontal="center" vertical="center"/>
    </xf>
    <xf numFmtId="1" fontId="30" fillId="0" borderId="26" xfId="2" applyNumberFormat="1" applyFont="1" applyBorder="1" applyAlignment="1" applyProtection="1">
      <alignment horizontal="center" vertical="center"/>
    </xf>
    <xf numFmtId="166" fontId="20" fillId="2" borderId="3" xfId="3" applyNumberFormat="1" applyFont="1" applyFill="1" applyBorder="1" applyAlignment="1" applyProtection="1">
      <alignment horizontal="center" vertical="center"/>
      <protection locked="0"/>
    </xf>
    <xf numFmtId="165" fontId="15" fillId="0" borderId="26" xfId="2" applyNumberFormat="1" applyFont="1" applyBorder="1" applyAlignment="1" applyProtection="1">
      <alignment horizontal="center" vertical="center"/>
    </xf>
    <xf numFmtId="166" fontId="15" fillId="0" borderId="26" xfId="2" applyNumberFormat="1" applyFont="1" applyBorder="1" applyAlignment="1" applyProtection="1">
      <alignment horizontal="center" vertical="center"/>
    </xf>
    <xf numFmtId="0" fontId="0" fillId="0" borderId="0" xfId="0" applyAlignment="1">
      <alignment horizontal="center"/>
    </xf>
    <xf numFmtId="1" fontId="15" fillId="0" borderId="26" xfId="2" applyNumberFormat="1" applyFont="1" applyBorder="1" applyAlignment="1" applyProtection="1">
      <alignment horizontal="center" vertical="center"/>
    </xf>
    <xf numFmtId="0" fontId="33" fillId="0" borderId="0" xfId="0" applyFont="1" applyAlignment="1">
      <alignment vertical="top" wrapText="1"/>
    </xf>
    <xf numFmtId="0" fontId="33" fillId="0" borderId="0" xfId="0" applyFont="1" applyAlignment="1">
      <alignment horizontal="center" vertical="top" wrapText="1"/>
    </xf>
    <xf numFmtId="2" fontId="15" fillId="0" borderId="26" xfId="2" applyNumberFormat="1" applyFont="1" applyBorder="1" applyAlignment="1" applyProtection="1">
      <alignment horizontal="left" vertical="center"/>
    </xf>
    <xf numFmtId="0" fontId="29" fillId="0" borderId="0" xfId="0" quotePrefix="1" applyFont="1" applyAlignment="1">
      <alignment horizontal="center"/>
    </xf>
    <xf numFmtId="0" fontId="29" fillId="0" borderId="0" xfId="0" applyFont="1" applyAlignment="1">
      <alignment horizontal="center" vertical="top" wrapText="1"/>
    </xf>
    <xf numFmtId="0" fontId="10" fillId="5" borderId="0" xfId="1" applyFont="1" applyFill="1" applyProtection="1"/>
    <xf numFmtId="9" fontId="15" fillId="5" borderId="0" xfId="1" applyNumberFormat="1" applyFont="1" applyFill="1" applyProtection="1"/>
    <xf numFmtId="167" fontId="15" fillId="5" borderId="0" xfId="1" applyNumberFormat="1" applyFont="1" applyFill="1" applyProtection="1"/>
    <xf numFmtId="0" fontId="18" fillId="5" borderId="0" xfId="1" applyFont="1" applyFill="1" applyBorder="1" applyAlignment="1" applyProtection="1">
      <alignment horizontal="right"/>
    </xf>
    <xf numFmtId="2" fontId="0" fillId="5" borderId="0" xfId="0" applyNumberFormat="1" applyFill="1"/>
    <xf numFmtId="0" fontId="31" fillId="0" borderId="0" xfId="0" applyFont="1" applyBorder="1" applyAlignment="1">
      <alignment vertical="center"/>
    </xf>
    <xf numFmtId="2" fontId="15" fillId="5" borderId="0" xfId="1" applyNumberFormat="1" applyFont="1" applyFill="1" applyBorder="1" applyProtection="1"/>
    <xf numFmtId="2" fontId="8" fillId="0" borderId="0" xfId="3" applyNumberFormat="1" applyFont="1" applyFill="1" applyBorder="1" applyAlignment="1" applyProtection="1">
      <alignment horizontal="center" vertical="center"/>
      <protection locked="0"/>
    </xf>
    <xf numFmtId="9" fontId="15" fillId="5" borderId="26" xfId="5" applyFont="1" applyFill="1" applyBorder="1" applyProtection="1"/>
    <xf numFmtId="0" fontId="35" fillId="0" borderId="0" xfId="1" applyFont="1" applyFill="1" applyBorder="1" applyAlignment="1" applyProtection="1">
      <alignment vertical="center"/>
    </xf>
    <xf numFmtId="1" fontId="15" fillId="0" borderId="28" xfId="2" applyNumberFormat="1" applyFont="1" applyBorder="1" applyAlignment="1" applyProtection="1">
      <alignment horizontal="center" vertical="center"/>
    </xf>
    <xf numFmtId="2" fontId="15" fillId="0" borderId="29" xfId="2" applyNumberFormat="1" applyFont="1" applyBorder="1" applyAlignment="1" applyProtection="1">
      <alignment horizontal="center" vertical="center"/>
    </xf>
    <xf numFmtId="2" fontId="20" fillId="2" borderId="30" xfId="3" applyNumberFormat="1" applyFont="1" applyFill="1" applyBorder="1" applyAlignment="1" applyProtection="1">
      <alignment horizontal="center" vertical="center"/>
      <protection locked="0"/>
    </xf>
    <xf numFmtId="1" fontId="15" fillId="0" borderId="31" xfId="2" applyNumberFormat="1" applyFont="1" applyBorder="1" applyAlignment="1" applyProtection="1">
      <alignment horizontal="center" vertical="center"/>
    </xf>
    <xf numFmtId="2" fontId="15" fillId="0" borderId="32" xfId="2" applyNumberFormat="1" applyFont="1" applyBorder="1" applyAlignment="1" applyProtection="1">
      <alignment horizontal="left" vertical="center"/>
    </xf>
    <xf numFmtId="1" fontId="20" fillId="2" borderId="16" xfId="3" applyNumberFormat="1" applyFont="1" applyFill="1" applyBorder="1" applyAlignment="1" applyProtection="1">
      <alignment horizontal="left" vertical="center"/>
      <protection locked="0"/>
    </xf>
    <xf numFmtId="1" fontId="20" fillId="2" borderId="16" xfId="3" applyNumberFormat="1" applyFont="1" applyFill="1" applyBorder="1" applyAlignment="1" applyProtection="1">
      <alignment horizontal="center" vertical="center"/>
      <protection locked="0"/>
    </xf>
    <xf numFmtId="2" fontId="20" fillId="2" borderId="33" xfId="3" applyNumberFormat="1" applyFont="1" applyFill="1" applyBorder="1" applyAlignment="1" applyProtection="1">
      <alignment horizontal="center" vertical="center"/>
      <protection locked="0"/>
    </xf>
    <xf numFmtId="1" fontId="15" fillId="0" borderId="34" xfId="2" applyNumberFormat="1" applyFont="1" applyBorder="1" applyAlignment="1" applyProtection="1">
      <alignment horizontal="center" vertical="center"/>
    </xf>
    <xf numFmtId="2" fontId="15" fillId="0" borderId="35" xfId="2" applyNumberFormat="1" applyFont="1" applyBorder="1" applyAlignment="1" applyProtection="1">
      <alignment horizontal="left" vertical="center"/>
    </xf>
    <xf numFmtId="1" fontId="15" fillId="0" borderId="35" xfId="2" applyNumberFormat="1" applyFont="1" applyBorder="1" applyAlignment="1" applyProtection="1">
      <alignment horizontal="center" vertical="center"/>
    </xf>
    <xf numFmtId="2" fontId="15" fillId="0" borderId="36" xfId="2" applyNumberFormat="1" applyFont="1" applyBorder="1" applyAlignment="1" applyProtection="1">
      <alignment horizontal="center" vertical="center"/>
    </xf>
    <xf numFmtId="2" fontId="10" fillId="0" borderId="38" xfId="2" applyNumberFormat="1" applyFont="1" applyBorder="1" applyAlignment="1" applyProtection="1">
      <alignment horizontal="left" vertical="center"/>
    </xf>
    <xf numFmtId="2" fontId="10" fillId="0" borderId="37" xfId="2" applyNumberFormat="1" applyFont="1" applyBorder="1" applyAlignment="1" applyProtection="1">
      <alignment horizontal="left" vertical="center"/>
    </xf>
    <xf numFmtId="2" fontId="10" fillId="0" borderId="39" xfId="2" applyNumberFormat="1" applyFont="1" applyBorder="1" applyAlignment="1" applyProtection="1">
      <alignment horizontal="left" vertical="center"/>
    </xf>
    <xf numFmtId="0" fontId="1" fillId="0" borderId="27" xfId="0" applyFont="1" applyBorder="1"/>
    <xf numFmtId="0" fontId="0" fillId="0" borderId="17" xfId="0" applyBorder="1" applyAlignment="1">
      <alignment horizontal="center"/>
    </xf>
    <xf numFmtId="0" fontId="10" fillId="5" borderId="0" xfId="1" applyFont="1" applyFill="1" applyAlignment="1" applyProtection="1">
      <alignment horizontal="right"/>
    </xf>
    <xf numFmtId="1" fontId="15" fillId="5" borderId="0" xfId="1" applyNumberFormat="1" applyFont="1" applyFill="1" applyAlignment="1" applyProtection="1">
      <alignment horizontal="center"/>
    </xf>
    <xf numFmtId="0" fontId="0" fillId="5" borderId="0" xfId="0" applyFill="1" applyAlignment="1">
      <alignment horizontal="right"/>
    </xf>
    <xf numFmtId="1" fontId="0" fillId="5" borderId="0" xfId="0" applyNumberFormat="1" applyFill="1"/>
    <xf numFmtId="1" fontId="0" fillId="5" borderId="0" xfId="0" applyNumberFormat="1" applyFill="1" applyAlignment="1">
      <alignment horizontal="center"/>
    </xf>
    <xf numFmtId="2" fontId="20" fillId="0" borderId="0" xfId="3" applyNumberFormat="1" applyFont="1" applyFill="1" applyBorder="1" applyAlignment="1" applyProtection="1">
      <alignment horizontal="center" vertical="center"/>
      <protection locked="0"/>
    </xf>
    <xf numFmtId="1" fontId="20" fillId="0" borderId="0" xfId="3" applyNumberFormat="1" applyFont="1" applyFill="1" applyBorder="1" applyAlignment="1" applyProtection="1">
      <alignment horizontal="center" vertical="center"/>
      <protection locked="0"/>
    </xf>
    <xf numFmtId="0" fontId="0" fillId="0" borderId="0" xfId="0" applyAlignment="1">
      <alignment horizontal="right"/>
    </xf>
    <xf numFmtId="9" fontId="20" fillId="2" borderId="3" xfId="5" applyFont="1" applyFill="1" applyBorder="1" applyAlignment="1" applyProtection="1">
      <alignment horizontal="center" vertical="center"/>
      <protection locked="0"/>
    </xf>
    <xf numFmtId="9" fontId="30" fillId="0" borderId="26" xfId="5" applyFont="1" applyBorder="1" applyAlignment="1" applyProtection="1">
      <alignment horizontal="center" vertical="center"/>
    </xf>
    <xf numFmtId="1" fontId="1" fillId="5" borderId="0" xfId="0" applyNumberFormat="1" applyFont="1" applyFill="1" applyAlignment="1">
      <alignment horizontal="center"/>
    </xf>
    <xf numFmtId="166" fontId="0" fillId="5" borderId="0" xfId="0" applyNumberFormat="1" applyFill="1" applyAlignment="1">
      <alignment horizontal="center"/>
    </xf>
    <xf numFmtId="166" fontId="1" fillId="5" borderId="0" xfId="0" applyNumberFormat="1" applyFont="1" applyFill="1" applyAlignment="1">
      <alignment horizontal="center"/>
    </xf>
    <xf numFmtId="0" fontId="28" fillId="0" borderId="0" xfId="1" applyFont="1" applyFill="1" applyBorder="1" applyAlignment="1" applyProtection="1">
      <alignment horizontal="left" vertical="center"/>
    </xf>
    <xf numFmtId="166" fontId="36" fillId="3" borderId="5" xfId="3" applyNumberFormat="1" applyFont="1" applyFill="1" applyBorder="1" applyAlignment="1" applyProtection="1">
      <alignment horizontal="centerContinuous" vertical="center"/>
    </xf>
    <xf numFmtId="1" fontId="36" fillId="3" borderId="27" xfId="3" applyNumberFormat="1" applyFont="1" applyFill="1" applyBorder="1" applyAlignment="1" applyProtection="1">
      <alignment horizontal="center" vertical="center"/>
    </xf>
    <xf numFmtId="1" fontId="37" fillId="3" borderId="27" xfId="3" applyNumberFormat="1" applyFont="1" applyFill="1" applyBorder="1" applyAlignment="1" applyProtection="1">
      <alignment horizontal="center" vertical="center"/>
    </xf>
    <xf numFmtId="0" fontId="10" fillId="0" borderId="0" xfId="1" applyFont="1" applyProtection="1"/>
    <xf numFmtId="165" fontId="37" fillId="3" borderId="5" xfId="3" applyNumberFormat="1" applyFont="1" applyFill="1" applyBorder="1" applyAlignment="1" applyProtection="1">
      <alignment horizontal="center" vertical="center"/>
    </xf>
    <xf numFmtId="1" fontId="0" fillId="0" borderId="5" xfId="0" applyNumberFormat="1" applyBorder="1"/>
    <xf numFmtId="1" fontId="0" fillId="0" borderId="14" xfId="0" applyNumberFormat="1" applyBorder="1"/>
    <xf numFmtId="0" fontId="0" fillId="0" borderId="13" xfId="0" applyBorder="1"/>
    <xf numFmtId="1" fontId="3" fillId="0" borderId="0" xfId="1" quotePrefix="1" applyNumberFormat="1" applyFont="1" applyFill="1" applyBorder="1" applyAlignment="1" applyProtection="1">
      <alignment horizontal="center" vertical="top" wrapText="1"/>
    </xf>
    <xf numFmtId="2" fontId="15" fillId="0" borderId="40" xfId="2" applyNumberFormat="1" applyFont="1" applyBorder="1" applyAlignment="1" applyProtection="1">
      <alignment horizontal="left" vertical="center"/>
    </xf>
    <xf numFmtId="0" fontId="38" fillId="0" borderId="0" xfId="6"/>
    <xf numFmtId="1" fontId="30" fillId="0" borderId="26" xfId="2" applyNumberFormat="1" applyFont="1" applyBorder="1" applyAlignment="1" applyProtection="1">
      <alignment horizontal="left" vertical="center"/>
    </xf>
    <xf numFmtId="0" fontId="0" fillId="6" borderId="0" xfId="0" applyFill="1"/>
    <xf numFmtId="0" fontId="3" fillId="6" borderId="0" xfId="1" quotePrefix="1" applyFont="1" applyFill="1" applyBorder="1" applyAlignment="1" applyProtection="1">
      <alignment horizontal="center" vertical="top" wrapText="1"/>
    </xf>
    <xf numFmtId="0" fontId="3" fillId="6" borderId="0" xfId="1" quotePrefix="1" applyFont="1" applyFill="1" applyBorder="1" applyAlignment="1" applyProtection="1">
      <alignment horizontal="center"/>
    </xf>
    <xf numFmtId="1" fontId="30" fillId="6" borderId="26" xfId="2" applyNumberFormat="1" applyFont="1" applyFill="1" applyBorder="1" applyAlignment="1" applyProtection="1">
      <alignment horizontal="left" vertical="center"/>
    </xf>
    <xf numFmtId="1" fontId="30" fillId="6" borderId="26" xfId="2" applyNumberFormat="1" applyFont="1" applyFill="1" applyBorder="1" applyAlignment="1" applyProtection="1">
      <alignment horizontal="center" vertical="center"/>
    </xf>
    <xf numFmtId="1" fontId="15" fillId="6" borderId="26" xfId="2" applyNumberFormat="1" applyFont="1" applyFill="1" applyBorder="1" applyAlignment="1" applyProtection="1">
      <alignment horizontal="center" vertical="center"/>
    </xf>
    <xf numFmtId="2" fontId="15" fillId="6" borderId="26" xfId="1" applyNumberFormat="1" applyFont="1" applyFill="1" applyBorder="1" applyProtection="1"/>
    <xf numFmtId="1" fontId="15" fillId="6" borderId="26" xfId="2" applyNumberFormat="1" applyFont="1" applyFill="1" applyBorder="1" applyAlignment="1" applyProtection="1">
      <alignment horizontal="left" vertical="center"/>
    </xf>
    <xf numFmtId="166" fontId="10" fillId="0" borderId="26" xfId="2" applyNumberFormat="1" applyFont="1" applyBorder="1" applyAlignment="1" applyProtection="1">
      <alignment horizontal="center" vertical="center"/>
    </xf>
    <xf numFmtId="2" fontId="10" fillId="0" borderId="39" xfId="2" applyNumberFormat="1" applyFont="1" applyBorder="1" applyAlignment="1" applyProtection="1">
      <alignment horizontal="center" vertical="center" wrapText="1"/>
    </xf>
    <xf numFmtId="1" fontId="15" fillId="0" borderId="36" xfId="2" applyNumberFormat="1" applyFont="1" applyBorder="1" applyAlignment="1" applyProtection="1">
      <alignment horizontal="center" vertical="center"/>
    </xf>
    <xf numFmtId="2" fontId="10" fillId="0" borderId="26" xfId="2" applyNumberFormat="1" applyFont="1" applyBorder="1" applyAlignment="1" applyProtection="1">
      <alignment horizontal="center" vertical="center"/>
    </xf>
    <xf numFmtId="1" fontId="20" fillId="2" borderId="3" xfId="3" applyNumberFormat="1" applyFont="1" applyFill="1" applyBorder="1" applyAlignment="1" applyProtection="1">
      <alignment vertical="center"/>
      <protection locked="0"/>
    </xf>
    <xf numFmtId="0" fontId="0" fillId="6" borderId="4" xfId="0" applyFill="1" applyBorder="1"/>
    <xf numFmtId="1" fontId="0" fillId="6" borderId="0" xfId="0" applyNumberFormat="1" applyFill="1"/>
    <xf numFmtId="1" fontId="0" fillId="6" borderId="4" xfId="0" applyNumberFormat="1" applyFill="1" applyBorder="1"/>
    <xf numFmtId="2" fontId="15" fillId="6" borderId="26" xfId="2" applyNumberFormat="1" applyFont="1" applyFill="1" applyBorder="1" applyAlignment="1" applyProtection="1">
      <alignment horizontal="center" vertical="center"/>
    </xf>
    <xf numFmtId="2" fontId="15" fillId="6" borderId="29" xfId="2" applyNumberFormat="1" applyFont="1" applyFill="1" applyBorder="1" applyAlignment="1" applyProtection="1">
      <alignment horizontal="center" vertical="center"/>
    </xf>
    <xf numFmtId="2" fontId="10" fillId="6" borderId="24" xfId="2" applyNumberFormat="1" applyFont="1" applyFill="1" applyBorder="1" applyAlignment="1" applyProtection="1">
      <alignment horizontal="center" vertical="center"/>
    </xf>
    <xf numFmtId="0" fontId="1" fillId="0" borderId="13" xfId="0" applyFont="1" applyBorder="1" applyAlignment="1">
      <alignment horizontal="center" vertical="top"/>
    </xf>
    <xf numFmtId="0" fontId="11" fillId="0" borderId="6" xfId="0" applyFont="1" applyBorder="1"/>
    <xf numFmtId="0" fontId="0" fillId="0" borderId="9" xfId="0" applyBorder="1" applyAlignment="1">
      <alignment horizontal="center" vertical="top" wrapText="1"/>
    </xf>
    <xf numFmtId="0" fontId="0" fillId="0" borderId="0" xfId="0" applyBorder="1" applyAlignment="1">
      <alignment vertical="top" wrapText="1"/>
    </xf>
    <xf numFmtId="0" fontId="1" fillId="0" borderId="0" xfId="0" applyFont="1" applyBorder="1" applyAlignment="1">
      <alignment horizontal="center" vertical="top" wrapText="1"/>
    </xf>
    <xf numFmtId="0" fontId="0" fillId="0" borderId="9" xfId="0" applyBorder="1" applyAlignment="1">
      <alignment horizontal="center"/>
    </xf>
    <xf numFmtId="0" fontId="0" fillId="0" borderId="0" xfId="0" applyBorder="1" applyAlignment="1">
      <alignment horizontal="center"/>
    </xf>
    <xf numFmtId="0" fontId="0" fillId="6" borderId="9" xfId="0" applyFill="1" applyBorder="1"/>
    <xf numFmtId="0" fontId="0" fillId="6" borderId="0" xfId="0" applyFill="1" applyBorder="1"/>
    <xf numFmtId="0" fontId="1" fillId="0" borderId="0" xfId="0" applyFont="1" applyBorder="1" applyAlignment="1">
      <alignment horizontal="right"/>
    </xf>
    <xf numFmtId="0" fontId="0" fillId="0" borderId="0" xfId="0" applyBorder="1" applyAlignment="1">
      <alignment horizontal="right"/>
    </xf>
    <xf numFmtId="0" fontId="1" fillId="0" borderId="7" xfId="0" applyFont="1" applyBorder="1" applyAlignment="1">
      <alignment horizontal="center"/>
    </xf>
    <xf numFmtId="1" fontId="21" fillId="2" borderId="3" xfId="3" applyNumberFormat="1" applyFont="1" applyFill="1" applyBorder="1" applyAlignment="1" applyProtection="1">
      <alignment horizontal="left" vertical="center"/>
      <protection locked="0"/>
    </xf>
    <xf numFmtId="1" fontId="15" fillId="6" borderId="0" xfId="2" applyNumberFormat="1" applyFont="1" applyFill="1" applyBorder="1" applyAlignment="1" applyProtection="1">
      <alignment horizontal="left" vertical="center"/>
    </xf>
    <xf numFmtId="1" fontId="30" fillId="6" borderId="0" xfId="2" applyNumberFormat="1" applyFont="1" applyFill="1" applyBorder="1" applyAlignment="1" applyProtection="1">
      <alignment horizontal="left" vertical="center"/>
    </xf>
    <xf numFmtId="1" fontId="15" fillId="6" borderId="0" xfId="2" applyNumberFormat="1" applyFont="1" applyFill="1" applyBorder="1" applyAlignment="1" applyProtection="1">
      <alignment horizontal="center" vertical="center"/>
    </xf>
    <xf numFmtId="2" fontId="15" fillId="6" borderId="0" xfId="1" applyNumberFormat="1" applyFont="1" applyFill="1" applyBorder="1" applyProtection="1"/>
    <xf numFmtId="2" fontId="10" fillId="6" borderId="26" xfId="1" applyNumberFormat="1" applyFont="1" applyFill="1" applyBorder="1" applyProtection="1"/>
    <xf numFmtId="0" fontId="0" fillId="0" borderId="0" xfId="0" applyAlignment="1">
      <alignment vertical="top"/>
    </xf>
    <xf numFmtId="0" fontId="0" fillId="0" borderId="9" xfId="0" applyBorder="1" applyAlignment="1">
      <alignment horizontal="center" vertical="top"/>
    </xf>
    <xf numFmtId="2" fontId="20" fillId="2" borderId="3" xfId="3" applyNumberFormat="1" applyFont="1" applyFill="1" applyBorder="1" applyAlignment="1" applyProtection="1">
      <alignment horizontal="center" vertical="top"/>
      <protection locked="0"/>
    </xf>
    <xf numFmtId="166" fontId="15" fillId="0" borderId="26" xfId="2" applyNumberFormat="1" applyFont="1" applyBorder="1" applyAlignment="1" applyProtection="1">
      <alignment horizontal="center" vertical="top"/>
    </xf>
    <xf numFmtId="166" fontId="10" fillId="0" borderId="26" xfId="2" applyNumberFormat="1" applyFont="1" applyBorder="1" applyAlignment="1" applyProtection="1">
      <alignment horizontal="center" vertical="top"/>
    </xf>
    <xf numFmtId="0" fontId="0" fillId="0" borderId="4" xfId="0" applyBorder="1" applyAlignment="1">
      <alignment vertical="top"/>
    </xf>
    <xf numFmtId="2" fontId="15" fillId="6" borderId="26" xfId="2" applyNumberFormat="1" applyFont="1" applyFill="1" applyBorder="1" applyAlignment="1" applyProtection="1">
      <alignment horizontal="center" vertical="top"/>
    </xf>
    <xf numFmtId="2" fontId="15" fillId="6" borderId="29" xfId="2" applyNumberFormat="1" applyFont="1" applyFill="1" applyBorder="1" applyAlignment="1" applyProtection="1">
      <alignment horizontal="center" vertical="top"/>
    </xf>
    <xf numFmtId="2" fontId="10" fillId="6" borderId="24" xfId="2" applyNumberFormat="1" applyFont="1" applyFill="1" applyBorder="1" applyAlignment="1" applyProtection="1">
      <alignment horizontal="center" vertical="top"/>
    </xf>
    <xf numFmtId="1" fontId="0" fillId="0" borderId="14" xfId="0" applyNumberFormat="1" applyBorder="1" applyAlignment="1">
      <alignment vertical="top"/>
    </xf>
    <xf numFmtId="2" fontId="15" fillId="0" borderId="26" xfId="2" applyNumberFormat="1" applyFont="1" applyBorder="1" applyAlignment="1" applyProtection="1">
      <alignment horizontal="left" vertical="top" wrapText="1"/>
    </xf>
    <xf numFmtId="2" fontId="30" fillId="0" borderId="24" xfId="2" applyNumberFormat="1" applyFont="1" applyBorder="1" applyAlignment="1" applyProtection="1">
      <alignment horizontal="center" vertical="top"/>
    </xf>
    <xf numFmtId="0" fontId="0" fillId="0" borderId="4" xfId="0" applyBorder="1" applyAlignment="1">
      <alignment vertical="top" wrapText="1"/>
    </xf>
    <xf numFmtId="2" fontId="15" fillId="0" borderId="29" xfId="2" applyNumberFormat="1" applyFont="1" applyBorder="1" applyAlignment="1" applyProtection="1">
      <alignment horizontal="center" vertical="top"/>
    </xf>
    <xf numFmtId="0" fontId="0" fillId="0" borderId="34" xfId="0" applyBorder="1" applyAlignment="1">
      <alignment horizontal="center"/>
    </xf>
    <xf numFmtId="0" fontId="0" fillId="0" borderId="36" xfId="0" applyBorder="1" applyAlignment="1">
      <alignment horizontal="center"/>
    </xf>
    <xf numFmtId="165" fontId="30" fillId="0" borderId="24" xfId="2" applyNumberFormat="1" applyFont="1" applyBorder="1" applyAlignment="1" applyProtection="1">
      <alignment horizontal="center" vertical="top"/>
    </xf>
    <xf numFmtId="165" fontId="15" fillId="0" borderId="29" xfId="2" applyNumberFormat="1" applyFont="1" applyBorder="1" applyAlignment="1" applyProtection="1">
      <alignment horizontal="center" vertical="top"/>
    </xf>
    <xf numFmtId="0" fontId="0" fillId="6" borderId="0" xfId="0" applyFill="1" applyAlignment="1">
      <alignment vertical="top"/>
    </xf>
    <xf numFmtId="0" fontId="0" fillId="6" borderId="4" xfId="0" applyFill="1" applyBorder="1" applyAlignment="1">
      <alignment vertical="top"/>
    </xf>
    <xf numFmtId="0" fontId="0" fillId="0" borderId="5" xfId="0" applyBorder="1" applyAlignment="1">
      <alignment vertical="top"/>
    </xf>
    <xf numFmtId="1" fontId="0" fillId="0" borderId="5" xfId="0" applyNumberFormat="1" applyBorder="1" applyAlignment="1">
      <alignment vertical="top"/>
    </xf>
    <xf numFmtId="1" fontId="39" fillId="6" borderId="9" xfId="0" applyNumberFormat="1" applyFont="1" applyFill="1" applyBorder="1"/>
    <xf numFmtId="2" fontId="15" fillId="0" borderId="41" xfId="2" applyNumberFormat="1" applyFont="1" applyBorder="1" applyAlignment="1" applyProtection="1">
      <alignment horizontal="left" vertical="top" wrapText="1"/>
    </xf>
    <xf numFmtId="0" fontId="33" fillId="0" borderId="42" xfId="0" applyFont="1" applyBorder="1" applyAlignment="1">
      <alignment horizontal="center" vertical="top" wrapText="1"/>
    </xf>
    <xf numFmtId="0" fontId="29" fillId="0" borderId="43" xfId="0" quotePrefix="1" applyFont="1" applyBorder="1" applyAlignment="1">
      <alignment horizontal="center"/>
    </xf>
    <xf numFmtId="0" fontId="29" fillId="0" borderId="35" xfId="0" applyFont="1" applyBorder="1" applyAlignment="1">
      <alignment horizontal="center"/>
    </xf>
    <xf numFmtId="0" fontId="33" fillId="0" borderId="44" xfId="0" applyFont="1" applyBorder="1" applyAlignment="1">
      <alignment horizontal="center" vertical="top" wrapText="1"/>
    </xf>
    <xf numFmtId="0" fontId="29" fillId="0" borderId="45" xfId="0" applyFont="1" applyBorder="1" applyAlignment="1">
      <alignment horizontal="center"/>
    </xf>
    <xf numFmtId="0" fontId="0" fillId="0" borderId="0" xfId="0" applyFill="1" applyBorder="1"/>
    <xf numFmtId="11" fontId="0" fillId="0" borderId="0" xfId="0" applyNumberFormat="1"/>
    <xf numFmtId="0" fontId="0" fillId="6" borderId="9" xfId="0" applyFill="1" applyBorder="1" applyAlignment="1">
      <alignment horizontal="center"/>
    </xf>
    <xf numFmtId="2" fontId="15" fillId="0" borderId="23" xfId="2" applyNumberFormat="1" applyFont="1" applyBorder="1" applyAlignment="1" applyProtection="1">
      <alignment horizontal="left" vertical="top"/>
    </xf>
    <xf numFmtId="0" fontId="28" fillId="0" borderId="0" xfId="1" quotePrefix="1" applyFont="1" applyFill="1" applyBorder="1" applyAlignment="1" applyProtection="1">
      <alignment horizontal="center" vertical="top" wrapText="1"/>
    </xf>
    <xf numFmtId="0" fontId="15" fillId="6" borderId="0" xfId="1" applyFont="1" applyFill="1" applyBorder="1" applyProtection="1"/>
    <xf numFmtId="0" fontId="0" fillId="6" borderId="13" xfId="0" applyFill="1" applyBorder="1"/>
    <xf numFmtId="0" fontId="1" fillId="6" borderId="13" xfId="0" applyFont="1" applyFill="1" applyBorder="1" applyAlignment="1">
      <alignment horizontal="center" vertical="top" wrapText="1"/>
    </xf>
    <xf numFmtId="2" fontId="0" fillId="6" borderId="14" xfId="0" applyNumberFormat="1" applyFill="1" applyBorder="1"/>
    <xf numFmtId="1" fontId="0" fillId="6" borderId="14" xfId="0" applyNumberFormat="1" applyFill="1" applyBorder="1"/>
    <xf numFmtId="1" fontId="0" fillId="6" borderId="5" xfId="0" applyNumberFormat="1" applyFill="1" applyBorder="1"/>
    <xf numFmtId="0" fontId="0" fillId="6" borderId="11" xfId="0" applyFill="1" applyBorder="1"/>
    <xf numFmtId="165" fontId="15" fillId="0" borderId="24" xfId="2" applyNumberFormat="1" applyFont="1" applyBorder="1" applyAlignment="1" applyProtection="1">
      <alignment horizontal="center" vertical="center"/>
    </xf>
    <xf numFmtId="2" fontId="15" fillId="0" borderId="24" xfId="2" applyNumberFormat="1" applyFont="1" applyBorder="1" applyAlignment="1" applyProtection="1">
      <alignment horizontal="left" vertical="top" wrapText="1"/>
    </xf>
    <xf numFmtId="0" fontId="0" fillId="0" borderId="48" xfId="0" applyBorder="1"/>
    <xf numFmtId="0" fontId="0" fillId="0" borderId="49" xfId="0" applyBorder="1"/>
    <xf numFmtId="2" fontId="15" fillId="0" borderId="24" xfId="2" applyNumberFormat="1" applyFont="1" applyBorder="1" applyAlignment="1" applyProtection="1">
      <alignment horizontal="center" vertical="center"/>
    </xf>
    <xf numFmtId="166" fontId="15" fillId="0" borderId="24" xfId="2" applyNumberFormat="1" applyFont="1" applyBorder="1" applyAlignment="1" applyProtection="1">
      <alignment horizontal="center" vertical="center"/>
    </xf>
    <xf numFmtId="1" fontId="15" fillId="0" borderId="24" xfId="2" applyNumberFormat="1" applyFont="1" applyBorder="1" applyAlignment="1" applyProtection="1">
      <alignment horizontal="center" vertical="center"/>
    </xf>
    <xf numFmtId="1" fontId="10" fillId="0" borderId="24" xfId="2" applyNumberFormat="1" applyFont="1" applyBorder="1" applyAlignment="1" applyProtection="1">
      <alignment horizontal="center" vertical="center"/>
    </xf>
    <xf numFmtId="1" fontId="10" fillId="0" borderId="26" xfId="2" applyNumberFormat="1" applyFont="1" applyBorder="1" applyAlignment="1" applyProtection="1">
      <alignment horizontal="center" vertical="center"/>
    </xf>
    <xf numFmtId="0" fontId="0" fillId="0" borderId="55" xfId="0" applyBorder="1"/>
    <xf numFmtId="0" fontId="1" fillId="0" borderId="55" xfId="0" applyFont="1" applyBorder="1" applyAlignment="1">
      <alignment horizontal="center" vertical="top"/>
    </xf>
    <xf numFmtId="1" fontId="15" fillId="6" borderId="24" xfId="2" applyNumberFormat="1" applyFont="1" applyFill="1" applyBorder="1" applyAlignment="1" applyProtection="1">
      <alignment horizontal="center" vertical="center"/>
    </xf>
    <xf numFmtId="166" fontId="15" fillId="6" borderId="24" xfId="2" applyNumberFormat="1" applyFont="1" applyFill="1" applyBorder="1" applyAlignment="1" applyProtection="1">
      <alignment horizontal="center" vertical="center"/>
    </xf>
    <xf numFmtId="0" fontId="28" fillId="0" borderId="0" xfId="1" quotePrefix="1" applyFont="1" applyFill="1" applyBorder="1" applyAlignment="1" applyProtection="1">
      <alignment horizontal="center" vertical="center" wrapText="1"/>
    </xf>
    <xf numFmtId="0" fontId="28" fillId="6" borderId="0" xfId="1" quotePrefix="1" applyFont="1" applyFill="1" applyBorder="1" applyAlignment="1" applyProtection="1">
      <alignment horizontal="center" vertical="center" wrapText="1"/>
    </xf>
    <xf numFmtId="1" fontId="15" fillId="6" borderId="29" xfId="2" applyNumberFormat="1" applyFont="1" applyFill="1" applyBorder="1" applyAlignment="1" applyProtection="1">
      <alignment horizontal="center" vertical="center"/>
    </xf>
    <xf numFmtId="0" fontId="0" fillId="6" borderId="53" xfId="0" applyFill="1" applyBorder="1"/>
    <xf numFmtId="1" fontId="3" fillId="6" borderId="0" xfId="1" quotePrefix="1" applyNumberFormat="1" applyFont="1" applyFill="1" applyBorder="1" applyAlignment="1" applyProtection="1">
      <alignment horizontal="center"/>
    </xf>
    <xf numFmtId="0" fontId="3" fillId="6" borderId="0" xfId="1" applyFont="1" applyFill="1" applyBorder="1" applyAlignment="1" applyProtection="1">
      <alignment horizontal="center"/>
    </xf>
    <xf numFmtId="1" fontId="30" fillId="0" borderId="0" xfId="2" applyNumberFormat="1" applyFont="1" applyBorder="1" applyAlignment="1" applyProtection="1">
      <alignment horizontal="center" vertical="center"/>
    </xf>
    <xf numFmtId="1" fontId="15" fillId="6" borderId="56" xfId="2" applyNumberFormat="1" applyFont="1" applyFill="1" applyBorder="1" applyAlignment="1" applyProtection="1">
      <alignment horizontal="center" vertical="center"/>
    </xf>
    <xf numFmtId="0" fontId="28" fillId="0" borderId="57" xfId="1" quotePrefix="1" applyFont="1" applyFill="1" applyBorder="1" applyAlignment="1" applyProtection="1">
      <alignment horizontal="right" vertical="center"/>
    </xf>
    <xf numFmtId="0" fontId="28" fillId="0" borderId="58" xfId="1" quotePrefix="1" applyFont="1" applyFill="1" applyBorder="1" applyAlignment="1" applyProtection="1">
      <alignment horizontal="right" vertical="center"/>
    </xf>
    <xf numFmtId="1" fontId="10" fillId="0" borderId="0" xfId="2" applyNumberFormat="1" applyFont="1" applyBorder="1" applyAlignment="1" applyProtection="1">
      <alignment horizontal="right" vertical="center"/>
    </xf>
    <xf numFmtId="2" fontId="10" fillId="0" borderId="24" xfId="2" applyNumberFormat="1" applyFont="1" applyBorder="1" applyAlignment="1" applyProtection="1">
      <alignment horizontal="center" vertical="center"/>
    </xf>
    <xf numFmtId="0" fontId="3" fillId="6" borderId="0" xfId="1" applyFont="1" applyFill="1" applyBorder="1" applyAlignment="1" applyProtection="1">
      <alignment horizontal="left"/>
    </xf>
    <xf numFmtId="2" fontId="15" fillId="6" borderId="24" xfId="2" applyNumberFormat="1" applyFont="1" applyFill="1" applyBorder="1" applyAlignment="1" applyProtection="1">
      <alignment horizontal="center" vertical="center"/>
    </xf>
    <xf numFmtId="0" fontId="40" fillId="0" borderId="7" xfId="0" applyFont="1" applyBorder="1"/>
    <xf numFmtId="0" fontId="0" fillId="6" borderId="7" xfId="0" applyFill="1" applyBorder="1"/>
    <xf numFmtId="0" fontId="33" fillId="0" borderId="0" xfId="0" applyFont="1" applyBorder="1" applyAlignment="1">
      <alignment vertical="center"/>
    </xf>
    <xf numFmtId="0" fontId="29" fillId="0" borderId="0" xfId="0" applyFont="1" applyBorder="1" applyAlignment="1">
      <alignment vertical="center"/>
    </xf>
    <xf numFmtId="0" fontId="31" fillId="0" borderId="0" xfId="0" applyFont="1" applyBorder="1" applyAlignment="1">
      <alignment horizontal="right" vertical="center"/>
    </xf>
    <xf numFmtId="0" fontId="29" fillId="0" borderId="0" xfId="0" applyFont="1" applyBorder="1" applyAlignment="1">
      <alignment horizontal="right"/>
    </xf>
    <xf numFmtId="0" fontId="31" fillId="0" borderId="0" xfId="0" applyFont="1" applyBorder="1" applyAlignment="1">
      <alignment horizontal="center" vertical="center" wrapText="1"/>
    </xf>
    <xf numFmtId="0" fontId="29" fillId="0" borderId="11" xfId="0" applyFont="1" applyBorder="1" applyAlignment="1">
      <alignment vertical="center"/>
    </xf>
    <xf numFmtId="1" fontId="30" fillId="0" borderId="11" xfId="2" applyNumberFormat="1" applyFont="1" applyBorder="1" applyAlignment="1" applyProtection="1">
      <alignment horizontal="center" vertical="center"/>
    </xf>
    <xf numFmtId="0" fontId="40" fillId="0" borderId="7" xfId="0" applyFont="1" applyBorder="1" applyAlignment="1">
      <alignment vertical="top"/>
    </xf>
    <xf numFmtId="0" fontId="0" fillId="0" borderId="7" xfId="0" applyBorder="1" applyAlignment="1">
      <alignment vertical="top"/>
    </xf>
    <xf numFmtId="0" fontId="28" fillId="0" borderId="7" xfId="1" quotePrefix="1" applyFont="1" applyFill="1" applyBorder="1" applyAlignment="1" applyProtection="1">
      <alignment horizontal="center" vertical="center" wrapText="1"/>
    </xf>
    <xf numFmtId="0" fontId="0" fillId="6" borderId="7" xfId="0" applyFill="1" applyBorder="1" applyAlignment="1">
      <alignment vertical="top"/>
    </xf>
    <xf numFmtId="0" fontId="28" fillId="0" borderId="7" xfId="1" quotePrefix="1" applyFont="1" applyFill="1" applyBorder="1" applyAlignment="1" applyProtection="1">
      <alignment horizontal="center" vertical="top" wrapText="1"/>
    </xf>
    <xf numFmtId="1" fontId="15" fillId="0" borderId="60" xfId="2" applyNumberFormat="1" applyFont="1" applyBorder="1" applyAlignment="1" applyProtection="1">
      <alignment horizontal="center" vertical="center"/>
    </xf>
    <xf numFmtId="166" fontId="10" fillId="0" borderId="43" xfId="2" applyNumberFormat="1" applyFont="1" applyBorder="1" applyAlignment="1" applyProtection="1">
      <alignment horizontal="center" vertical="center"/>
    </xf>
    <xf numFmtId="1" fontId="10" fillId="0" borderId="43" xfId="2" applyNumberFormat="1" applyFont="1" applyBorder="1" applyAlignment="1" applyProtection="1">
      <alignment horizontal="center" vertical="center"/>
    </xf>
    <xf numFmtId="1" fontId="20" fillId="0" borderId="22" xfId="3" applyNumberFormat="1" applyFont="1" applyFill="1" applyBorder="1" applyAlignment="1" applyProtection="1">
      <alignment horizontal="center" vertical="center"/>
      <protection locked="0"/>
    </xf>
    <xf numFmtId="0" fontId="0" fillId="6" borderId="61" xfId="0" applyFill="1" applyBorder="1"/>
    <xf numFmtId="0" fontId="0" fillId="0" borderId="58" xfId="0" applyBorder="1" applyAlignment="1">
      <alignment horizontal="right"/>
    </xf>
    <xf numFmtId="0" fontId="1" fillId="0" borderId="58" xfId="0" applyFont="1" applyBorder="1" applyAlignment="1">
      <alignment horizontal="right"/>
    </xf>
    <xf numFmtId="1" fontId="10" fillId="0" borderId="35" xfId="2" applyNumberFormat="1" applyFont="1" applyBorder="1" applyAlignment="1" applyProtection="1">
      <alignment horizontal="center" vertical="center"/>
    </xf>
    <xf numFmtId="1" fontId="15" fillId="6" borderId="32" xfId="2" applyNumberFormat="1" applyFont="1" applyFill="1" applyBorder="1" applyAlignment="1" applyProtection="1">
      <alignment horizontal="center" vertical="center"/>
    </xf>
    <xf numFmtId="1" fontId="15" fillId="0" borderId="32" xfId="2" applyNumberFormat="1" applyFont="1" applyBorder="1" applyAlignment="1" applyProtection="1">
      <alignment horizontal="center" vertical="center"/>
    </xf>
    <xf numFmtId="2" fontId="15" fillId="0" borderId="60" xfId="2" applyNumberFormat="1" applyFont="1" applyBorder="1" applyAlignment="1" applyProtection="1">
      <alignment horizontal="center" vertical="center"/>
    </xf>
    <xf numFmtId="166" fontId="15" fillId="6" borderId="32" xfId="2" applyNumberFormat="1" applyFont="1" applyFill="1" applyBorder="1" applyAlignment="1" applyProtection="1">
      <alignment horizontal="center" vertical="center"/>
    </xf>
    <xf numFmtId="165" fontId="20" fillId="2" borderId="3" xfId="3" applyNumberFormat="1" applyFont="1" applyFill="1" applyBorder="1" applyAlignment="1" applyProtection="1">
      <alignment horizontal="center" vertical="top"/>
      <protection locked="0"/>
    </xf>
    <xf numFmtId="2" fontId="15" fillId="0" borderId="63" xfId="2" applyNumberFormat="1" applyFont="1" applyBorder="1" applyAlignment="1" applyProtection="1">
      <alignment horizontal="left" vertical="center"/>
    </xf>
    <xf numFmtId="166" fontId="15" fillId="0" borderId="36" xfId="2" applyNumberFormat="1" applyFont="1" applyBorder="1" applyAlignment="1" applyProtection="1">
      <alignment horizontal="center" vertical="center"/>
    </xf>
    <xf numFmtId="1" fontId="15" fillId="0" borderId="39" xfId="2" applyNumberFormat="1" applyFont="1" applyBorder="1" applyAlignment="1" applyProtection="1">
      <alignment horizontal="center" vertical="center" wrapText="1"/>
    </xf>
    <xf numFmtId="1" fontId="15" fillId="0" borderId="37" xfId="2" applyNumberFormat="1" applyFont="1" applyBorder="1" applyAlignment="1" applyProtection="1">
      <alignment horizontal="center" vertical="center"/>
    </xf>
    <xf numFmtId="1" fontId="15" fillId="0" borderId="38" xfId="2" applyNumberFormat="1" applyFont="1" applyBorder="1" applyAlignment="1" applyProtection="1">
      <alignment horizontal="center" vertical="center"/>
    </xf>
    <xf numFmtId="0" fontId="0" fillId="0" borderId="0" xfId="0" applyBorder="1" applyAlignment="1">
      <alignment horizontal="left" vertical="center"/>
    </xf>
    <xf numFmtId="49" fontId="15" fillId="0" borderId="34" xfId="2" applyNumberFormat="1" applyFont="1" applyBorder="1" applyAlignment="1" applyProtection="1">
      <alignment horizontal="center" vertical="center"/>
    </xf>
    <xf numFmtId="49" fontId="15" fillId="0" borderId="62" xfId="2" applyNumberFormat="1" applyFont="1" applyBorder="1" applyAlignment="1" applyProtection="1">
      <alignment horizontal="center" vertical="center"/>
    </xf>
    <xf numFmtId="165" fontId="15" fillId="6" borderId="26" xfId="2" applyNumberFormat="1" applyFont="1" applyFill="1" applyBorder="1" applyAlignment="1" applyProtection="1">
      <alignment horizontal="center" vertical="center"/>
    </xf>
    <xf numFmtId="166" fontId="15" fillId="0" borderId="60" xfId="2" applyNumberFormat="1" applyFont="1" applyBorder="1" applyAlignment="1" applyProtection="1">
      <alignment horizontal="center" vertical="center"/>
    </xf>
    <xf numFmtId="0" fontId="29" fillId="6" borderId="0" xfId="0" applyFont="1" applyFill="1"/>
    <xf numFmtId="49" fontId="29" fillId="6" borderId="0" xfId="0" applyNumberFormat="1" applyFont="1" applyFill="1"/>
    <xf numFmtId="0" fontId="29" fillId="6" borderId="42" xfId="0" applyFont="1" applyFill="1" applyBorder="1"/>
    <xf numFmtId="0" fontId="29" fillId="6" borderId="0" xfId="0" applyFont="1" applyFill="1" applyAlignment="1">
      <alignment horizontal="center"/>
    </xf>
    <xf numFmtId="0" fontId="33" fillId="6" borderId="0" xfId="0" applyFont="1" applyFill="1"/>
    <xf numFmtId="2" fontId="15" fillId="6" borderId="26" xfId="2" applyNumberFormat="1" applyFont="1" applyFill="1" applyBorder="1" applyAlignment="1" applyProtection="1">
      <alignment horizontal="left" vertical="center"/>
    </xf>
    <xf numFmtId="0" fontId="0" fillId="6" borderId="0" xfId="0" applyFill="1" applyAlignment="1">
      <alignment vertical="center"/>
    </xf>
    <xf numFmtId="0" fontId="0" fillId="0" borderId="0" xfId="0" applyAlignment="1">
      <alignment vertical="center"/>
    </xf>
    <xf numFmtId="0" fontId="0" fillId="0" borderId="64" xfId="0" applyBorder="1"/>
    <xf numFmtId="0" fontId="0" fillId="6" borderId="64" xfId="0" applyFill="1" applyBorder="1"/>
    <xf numFmtId="0" fontId="0" fillId="0" borderId="65" xfId="0" applyBorder="1" applyAlignment="1">
      <alignment vertical="center"/>
    </xf>
    <xf numFmtId="0" fontId="0" fillId="6" borderId="65" xfId="0" applyFill="1" applyBorder="1" applyAlignment="1">
      <alignment vertical="center"/>
    </xf>
    <xf numFmtId="0" fontId="44" fillId="0" borderId="65" xfId="0" applyFont="1" applyBorder="1" applyAlignment="1">
      <alignment vertical="center"/>
    </xf>
    <xf numFmtId="0" fontId="31" fillId="0" borderId="0" xfId="0" applyFont="1" applyAlignment="1">
      <alignment horizontal="right" vertical="top"/>
    </xf>
    <xf numFmtId="0" fontId="28" fillId="0" borderId="7" xfId="1" quotePrefix="1" applyFont="1" applyFill="1" applyBorder="1" applyAlignment="1" applyProtection="1">
      <alignment horizontal="center" vertical="center" wrapText="1"/>
    </xf>
    <xf numFmtId="2" fontId="0" fillId="6" borderId="0" xfId="0" applyNumberFormat="1" applyFill="1"/>
    <xf numFmtId="9" fontId="15" fillId="0" borderId="35" xfId="5" applyFont="1" applyBorder="1" applyAlignment="1" applyProtection="1">
      <alignment horizontal="center" vertical="center"/>
    </xf>
    <xf numFmtId="0" fontId="3" fillId="0" borderId="68" xfId="0" applyFont="1" applyBorder="1" applyAlignment="1" applyProtection="1">
      <alignment horizontal="left"/>
    </xf>
    <xf numFmtId="2" fontId="0" fillId="6" borderId="5" xfId="0" applyNumberFormat="1" applyFill="1" applyBorder="1"/>
    <xf numFmtId="0" fontId="0" fillId="6" borderId="5" xfId="0" applyFill="1" applyBorder="1" applyAlignment="1">
      <alignment horizontal="center"/>
    </xf>
    <xf numFmtId="2" fontId="0" fillId="6" borderId="0" xfId="0" applyNumberFormat="1" applyFill="1" applyAlignment="1">
      <alignment horizontal="center"/>
    </xf>
    <xf numFmtId="1" fontId="0" fillId="6" borderId="0" xfId="0" applyNumberFormat="1" applyFill="1" applyAlignment="1">
      <alignment horizontal="center"/>
    </xf>
    <xf numFmtId="1" fontId="36" fillId="0" borderId="26" xfId="2" applyNumberFormat="1" applyFont="1" applyBorder="1" applyAlignment="1" applyProtection="1">
      <alignment horizontal="center" vertical="center"/>
    </xf>
    <xf numFmtId="166" fontId="9" fillId="3" borderId="70" xfId="2" applyNumberFormat="1" applyFont="1" applyFill="1" applyBorder="1" applyAlignment="1" applyProtection="1">
      <alignment horizontal="center" vertical="center"/>
    </xf>
    <xf numFmtId="0" fontId="19" fillId="0" borderId="0" xfId="0" applyFont="1" applyAlignment="1" applyProtection="1">
      <alignment vertical="center"/>
    </xf>
    <xf numFmtId="1" fontId="36" fillId="0" borderId="26" xfId="2" applyNumberFormat="1" applyFont="1" applyBorder="1" applyAlignment="1" applyProtection="1">
      <alignment horizontal="left" vertical="center"/>
    </xf>
    <xf numFmtId="166" fontId="9" fillId="3" borderId="70" xfId="2" applyNumberFormat="1" applyFont="1" applyFill="1" applyBorder="1" applyAlignment="1" applyProtection="1">
      <alignment horizontal="left" vertical="center"/>
    </xf>
    <xf numFmtId="166" fontId="46" fillId="2" borderId="3" xfId="7" applyNumberFormat="1" applyFont="1" applyFill="1" applyBorder="1" applyAlignment="1" applyProtection="1">
      <alignment horizontal="center" vertical="center"/>
      <protection locked="0"/>
    </xf>
    <xf numFmtId="166" fontId="47" fillId="0" borderId="26" xfId="2" applyNumberFormat="1" applyFont="1" applyBorder="1" applyAlignment="1" applyProtection="1">
      <alignment horizontal="center" vertical="center"/>
    </xf>
    <xf numFmtId="166" fontId="47" fillId="0" borderId="26" xfId="2" applyNumberFormat="1" applyFont="1" applyBorder="1" applyAlignment="1" applyProtection="1">
      <alignment horizontal="left" vertical="center"/>
    </xf>
    <xf numFmtId="0" fontId="46" fillId="4" borderId="3" xfId="7" applyNumberFormat="1" applyFont="1" applyFill="1" applyBorder="1" applyAlignment="1" applyProtection="1">
      <alignment horizontal="left" vertical="center"/>
      <protection locked="0"/>
    </xf>
    <xf numFmtId="166" fontId="46" fillId="2" borderId="3" xfId="7" applyNumberFormat="1" applyFont="1" applyFill="1" applyBorder="1" applyAlignment="1" applyProtection="1">
      <alignment horizontal="left" vertical="center"/>
      <protection locked="0"/>
    </xf>
    <xf numFmtId="0" fontId="48" fillId="0" borderId="0" xfId="0" applyFont="1" applyAlignment="1">
      <alignment horizontal="right" vertical="top"/>
    </xf>
    <xf numFmtId="0" fontId="49" fillId="0" borderId="0" xfId="0" applyFont="1" applyAlignment="1">
      <alignment vertical="center"/>
    </xf>
    <xf numFmtId="0" fontId="51" fillId="6" borderId="0" xfId="0" applyFont="1" applyFill="1" applyAlignment="1">
      <alignment horizontal="center"/>
    </xf>
    <xf numFmtId="2" fontId="52" fillId="0" borderId="26" xfId="2" applyNumberFormat="1" applyFont="1" applyBorder="1" applyAlignment="1" applyProtection="1">
      <alignment horizontal="left" vertical="center"/>
    </xf>
    <xf numFmtId="2" fontId="52" fillId="6" borderId="26" xfId="2" applyNumberFormat="1" applyFont="1" applyFill="1" applyBorder="1" applyAlignment="1" applyProtection="1">
      <alignment horizontal="left" vertical="center"/>
    </xf>
    <xf numFmtId="165" fontId="53" fillId="2" borderId="3" xfId="3" applyNumberFormat="1" applyFont="1" applyFill="1" applyBorder="1" applyAlignment="1" applyProtection="1">
      <alignment horizontal="center" vertical="center"/>
      <protection locked="0"/>
    </xf>
    <xf numFmtId="1" fontId="52" fillId="0" borderId="26" xfId="2" applyNumberFormat="1" applyFont="1" applyBorder="1" applyAlignment="1" applyProtection="1">
      <alignment horizontal="center" vertical="center"/>
    </xf>
    <xf numFmtId="1" fontId="53" fillId="2" borderId="3" xfId="3" applyNumberFormat="1" applyFont="1" applyFill="1" applyBorder="1" applyAlignment="1" applyProtection="1">
      <alignment horizontal="center" vertical="center"/>
      <protection locked="0"/>
    </xf>
    <xf numFmtId="1" fontId="53" fillId="2" borderId="3" xfId="3" applyNumberFormat="1" applyFont="1" applyFill="1" applyBorder="1" applyAlignment="1" applyProtection="1">
      <alignment horizontal="left" vertical="center"/>
      <protection locked="0"/>
    </xf>
    <xf numFmtId="1" fontId="54" fillId="0" borderId="26" xfId="2" applyNumberFormat="1" applyFont="1" applyBorder="1" applyAlignment="1" applyProtection="1">
      <alignment horizontal="center" vertical="center"/>
    </xf>
    <xf numFmtId="165" fontId="54" fillId="0" borderId="26" xfId="2" applyNumberFormat="1" applyFont="1" applyBorder="1" applyAlignment="1" applyProtection="1">
      <alignment horizontal="center" vertical="center"/>
    </xf>
    <xf numFmtId="165" fontId="52" fillId="0" borderId="26" xfId="2" applyNumberFormat="1" applyFont="1" applyBorder="1" applyAlignment="1" applyProtection="1">
      <alignment horizontal="center" vertical="center"/>
    </xf>
    <xf numFmtId="166" fontId="54" fillId="0" borderId="26" xfId="2" applyNumberFormat="1" applyFont="1" applyBorder="1" applyAlignment="1" applyProtection="1">
      <alignment horizontal="center" vertical="center"/>
    </xf>
    <xf numFmtId="166" fontId="53" fillId="2" borderId="3" xfId="3" applyNumberFormat="1" applyFont="1" applyFill="1" applyBorder="1" applyAlignment="1" applyProtection="1">
      <alignment horizontal="center" vertical="center"/>
      <protection locked="0"/>
    </xf>
    <xf numFmtId="166" fontId="52" fillId="0" borderId="26" xfId="2" applyNumberFormat="1" applyFont="1" applyBorder="1" applyAlignment="1" applyProtection="1">
      <alignment horizontal="center" vertical="center"/>
    </xf>
    <xf numFmtId="2" fontId="52" fillId="0" borderId="26" xfId="2" applyNumberFormat="1" applyFont="1" applyBorder="1" applyAlignment="1" applyProtection="1">
      <alignment horizontal="center" vertical="center"/>
    </xf>
    <xf numFmtId="0" fontId="51" fillId="0" borderId="0" xfId="0" applyFont="1"/>
    <xf numFmtId="0" fontId="0" fillId="9" borderId="0" xfId="0" applyFill="1"/>
    <xf numFmtId="0" fontId="38" fillId="9" borderId="0" xfId="6" applyFill="1"/>
    <xf numFmtId="0" fontId="56" fillId="0" borderId="0" xfId="0" applyFont="1" applyFill="1" applyBorder="1" applyAlignment="1">
      <alignment horizontal="right"/>
    </xf>
    <xf numFmtId="0" fontId="56" fillId="0" borderId="0" xfId="0" applyFont="1" applyFill="1" applyBorder="1"/>
    <xf numFmtId="0" fontId="56" fillId="0" borderId="0" xfId="0" applyFont="1" applyFill="1" applyBorder="1" applyAlignment="1">
      <alignment vertical="center" wrapText="1"/>
    </xf>
    <xf numFmtId="0" fontId="56" fillId="0" borderId="0" xfId="8" applyFont="1" applyFill="1" applyBorder="1" applyAlignment="1">
      <alignment vertical="center" wrapText="1"/>
    </xf>
    <xf numFmtId="0" fontId="29" fillId="0" borderId="0" xfId="0" applyFont="1" applyFill="1" applyBorder="1"/>
    <xf numFmtId="0" fontId="56" fillId="0" borderId="0" xfId="8" applyFont="1" applyFill="1" applyBorder="1" applyAlignment="1">
      <alignment horizontal="right"/>
    </xf>
    <xf numFmtId="164" fontId="0" fillId="0" borderId="14" xfId="4" applyFont="1" applyBorder="1" applyAlignment="1"/>
    <xf numFmtId="0" fontId="0" fillId="0" borderId="14" xfId="0" applyBorder="1" applyAlignment="1"/>
    <xf numFmtId="0" fontId="1" fillId="0" borderId="19" xfId="0" applyFont="1" applyBorder="1" applyAlignment="1">
      <alignment horizontal="center"/>
    </xf>
    <xf numFmtId="0" fontId="0" fillId="0" borderId="20" xfId="0" applyBorder="1" applyAlignment="1">
      <alignment horizontal="center"/>
    </xf>
    <xf numFmtId="0" fontId="50" fillId="0" borderId="0" xfId="0" applyFont="1" applyAlignment="1">
      <alignment vertical="top" wrapText="1"/>
    </xf>
    <xf numFmtId="0" fontId="0" fillId="0" borderId="0" xfId="0" applyAlignment="1">
      <alignment vertical="top" wrapText="1"/>
    </xf>
    <xf numFmtId="1" fontId="20" fillId="2" borderId="2" xfId="3" applyNumberFormat="1" applyFont="1" applyFill="1" applyBorder="1" applyAlignment="1" applyProtection="1">
      <alignment horizontal="left" vertical="center"/>
      <protection locked="0"/>
    </xf>
    <xf numFmtId="0" fontId="0" fillId="0" borderId="22" xfId="0" applyBorder="1" applyAlignment="1">
      <alignment horizontal="left" vertical="center"/>
    </xf>
    <xf numFmtId="165" fontId="20" fillId="2" borderId="50" xfId="3" applyNumberFormat="1" applyFont="1" applyFill="1" applyBorder="1" applyAlignment="1" applyProtection="1">
      <alignment horizontal="left" vertical="center"/>
      <protection locked="0"/>
    </xf>
    <xf numFmtId="0" fontId="0" fillId="0" borderId="51" xfId="0" applyBorder="1" applyAlignment="1"/>
    <xf numFmtId="0" fontId="0" fillId="0" borderId="54" xfId="0" applyBorder="1" applyAlignment="1"/>
    <xf numFmtId="165" fontId="20" fillId="2" borderId="51" xfId="3" applyNumberFormat="1" applyFont="1" applyFill="1" applyBorder="1" applyAlignment="1" applyProtection="1">
      <alignment horizontal="left" vertical="center"/>
      <protection locked="0"/>
    </xf>
    <xf numFmtId="0" fontId="0" fillId="0" borderId="52" xfId="0" applyBorder="1" applyAlignment="1"/>
    <xf numFmtId="0" fontId="43" fillId="0" borderId="49" xfId="0" applyFont="1" applyBorder="1" applyAlignment="1" applyProtection="1">
      <alignment horizontal="center" vertical="center"/>
    </xf>
    <xf numFmtId="0" fontId="0" fillId="0" borderId="49" xfId="0" applyFont="1" applyBorder="1" applyAlignment="1"/>
    <xf numFmtId="0" fontId="28" fillId="0" borderId="7" xfId="1" quotePrefix="1" applyFont="1" applyFill="1" applyBorder="1" applyAlignment="1" applyProtection="1">
      <alignment horizontal="center" vertical="center" wrapText="1"/>
    </xf>
    <xf numFmtId="0" fontId="0" fillId="0" borderId="7" xfId="0" applyBorder="1" applyAlignment="1"/>
    <xf numFmtId="9" fontId="20" fillId="2" borderId="59" xfId="5" applyFont="1" applyFill="1" applyBorder="1" applyAlignment="1" applyProtection="1">
      <alignment horizontal="center" vertical="center"/>
      <protection locked="0"/>
    </xf>
    <xf numFmtId="165" fontId="20" fillId="2" borderId="2" xfId="3" applyNumberFormat="1" applyFont="1" applyFill="1" applyBorder="1" applyAlignment="1" applyProtection="1">
      <alignment horizontal="left" vertical="center"/>
      <protection locked="0"/>
    </xf>
    <xf numFmtId="165" fontId="20" fillId="2" borderId="22" xfId="3" applyNumberFormat="1" applyFont="1" applyFill="1" applyBorder="1" applyAlignment="1" applyProtection="1">
      <alignment horizontal="left" vertical="center"/>
      <protection locked="0"/>
    </xf>
    <xf numFmtId="165" fontId="20" fillId="2" borderId="46" xfId="3" applyNumberFormat="1" applyFont="1" applyFill="1" applyBorder="1" applyAlignment="1" applyProtection="1">
      <alignment horizontal="left" vertical="center"/>
      <protection locked="0"/>
    </xf>
    <xf numFmtId="165" fontId="20" fillId="2" borderId="47" xfId="3" applyNumberFormat="1" applyFont="1" applyFill="1" applyBorder="1" applyAlignment="1" applyProtection="1">
      <alignment horizontal="left" vertical="center"/>
      <protection locked="0"/>
    </xf>
    <xf numFmtId="165" fontId="20" fillId="2" borderId="69" xfId="3" applyNumberFormat="1" applyFont="1" applyFill="1" applyBorder="1" applyAlignment="1" applyProtection="1">
      <alignment horizontal="left" vertical="center"/>
      <protection locked="0"/>
    </xf>
    <xf numFmtId="165" fontId="20" fillId="2" borderId="66" xfId="3" applyNumberFormat="1" applyFont="1" applyFill="1" applyBorder="1" applyAlignment="1" applyProtection="1">
      <alignment horizontal="left" vertical="center"/>
      <protection locked="0"/>
    </xf>
    <xf numFmtId="165" fontId="20" fillId="2" borderId="67" xfId="3" applyNumberFormat="1" applyFont="1" applyFill="1" applyBorder="1" applyAlignment="1" applyProtection="1">
      <alignment horizontal="left" vertical="center"/>
      <protection locked="0"/>
    </xf>
    <xf numFmtId="0" fontId="1" fillId="0" borderId="0" xfId="0" applyFont="1" applyBorder="1" applyAlignment="1">
      <alignment horizontal="center" vertical="top" wrapText="1"/>
    </xf>
    <xf numFmtId="0" fontId="0" fillId="0" borderId="0" xfId="0" applyBorder="1" applyAlignment="1">
      <alignment horizontal="center" vertical="top" wrapText="1"/>
    </xf>
    <xf numFmtId="0" fontId="0" fillId="0" borderId="4" xfId="0" applyBorder="1" applyAlignment="1">
      <alignment horizontal="center" vertical="top" wrapText="1"/>
    </xf>
    <xf numFmtId="0" fontId="1" fillId="0" borderId="7" xfId="0" applyFont="1" applyBorder="1" applyAlignment="1">
      <alignment horizontal="center"/>
    </xf>
    <xf numFmtId="0" fontId="33" fillId="0" borderId="42" xfId="0" applyFont="1" applyBorder="1" applyAlignment="1">
      <alignment horizontal="center" vertical="top" wrapText="1"/>
    </xf>
    <xf numFmtId="0" fontId="33" fillId="0" borderId="0" xfId="0" applyFont="1" applyBorder="1" applyAlignment="1">
      <alignment horizontal="center" vertical="top" wrapText="1"/>
    </xf>
    <xf numFmtId="0" fontId="59" fillId="0" borderId="0" xfId="0"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xf numFmtId="0" fontId="56" fillId="0" borderId="0" xfId="0" applyFont="1" applyFill="1" applyBorder="1" applyAlignment="1">
      <alignment horizontal="right" vertical="center" wrapText="1"/>
    </xf>
    <xf numFmtId="0" fontId="60" fillId="0" borderId="0" xfId="0" applyFont="1" applyFill="1" applyBorder="1"/>
    <xf numFmtId="0" fontId="61" fillId="0" borderId="0" xfId="6" applyFont="1" applyFill="1" applyBorder="1"/>
    <xf numFmtId="3" fontId="56" fillId="0" borderId="0" xfId="8" applyNumberFormat="1" applyFont="1" applyFill="1" applyBorder="1" applyAlignment="1">
      <alignment vertical="center" wrapText="1"/>
    </xf>
    <xf numFmtId="15" fontId="56" fillId="0" borderId="0" xfId="0" applyNumberFormat="1" applyFont="1" applyFill="1" applyBorder="1"/>
    <xf numFmtId="14" fontId="56" fillId="0" borderId="0" xfId="0" applyNumberFormat="1" applyFont="1" applyFill="1" applyBorder="1"/>
    <xf numFmtId="0" fontId="56" fillId="0" borderId="0" xfId="8" applyFont="1" applyFill="1" applyBorder="1" applyAlignment="1">
      <alignment horizontal="right" vertical="center" wrapText="1"/>
    </xf>
    <xf numFmtId="0" fontId="0" fillId="0" borderId="0" xfId="0" applyFill="1"/>
    <xf numFmtId="0" fontId="1" fillId="0" borderId="0" xfId="0" applyFont="1" applyFill="1"/>
    <xf numFmtId="11" fontId="0" fillId="0" borderId="0" xfId="0" applyNumberFormat="1" applyFill="1"/>
    <xf numFmtId="165" fontId="0" fillId="0" borderId="0" xfId="0" applyNumberFormat="1" applyFill="1"/>
    <xf numFmtId="0" fontId="56" fillId="8" borderId="0" xfId="0" applyFont="1" applyFill="1" applyBorder="1"/>
    <xf numFmtId="0" fontId="38" fillId="0" borderId="0" xfId="6" applyBorder="1"/>
    <xf numFmtId="11" fontId="0" fillId="0" borderId="0" xfId="0" applyNumberFormat="1" applyBorder="1"/>
    <xf numFmtId="14" fontId="0" fillId="0" borderId="0" xfId="0" applyNumberFormat="1" applyBorder="1"/>
  </cellXfs>
  <cellStyles count="9">
    <cellStyle name="Currency" xfId="4" builtinId="4"/>
    <cellStyle name="Hyperlink" xfId="6" builtinId="8"/>
    <cellStyle name="Neutral" xfId="8" builtinId="28"/>
    <cellStyle name="Normal" xfId="0" builtinId="0"/>
    <cellStyle name="Percent" xfId="5" builtinId="5"/>
    <cellStyle name="Standard_HWB Kurzverf. Formular" xfId="2"/>
    <cellStyle name="Standard_HWB Kurzverf. Formular (2)" xfId="7"/>
    <cellStyle name="Standard_k-Wert Kalkulation" xfId="1"/>
    <cellStyle name="Standard_LEG HZ-K Formular" xfId="3"/>
  </cellStyles>
  <dxfs count="0"/>
  <tableStyles count="0" defaultTableStyle="TableStyleMedium2" defaultPivotStyle="PivotStyleLight16"/>
  <colors>
    <mruColors>
      <color rgb="FF99CC00"/>
      <color rgb="FF0000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Lebenszykluskosten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045581802274715"/>
          <c:y val="0.16402429427241844"/>
          <c:w val="0.80687051618547678"/>
          <c:h val="0.75549692386763923"/>
        </c:manualLayout>
      </c:layout>
      <c:scatterChart>
        <c:scatterStyle val="smoothMarker"/>
        <c:varyColors val="0"/>
        <c:ser>
          <c:idx val="0"/>
          <c:order val="0"/>
          <c:tx>
            <c:strRef>
              <c:f>'U+Qt'!$I$76:$I$77</c:f>
              <c:strCache>
                <c:ptCount val="2"/>
                <c:pt idx="0">
                  <c:v>Lebenszyklusk. K0</c:v>
                </c:pt>
                <c:pt idx="1">
                  <c:v>€/m²</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'U+Qt'!$D$78:$D$90</c:f>
              <c:numCache>
                <c:formatCode>0.00</c:formatCode>
                <c:ptCount val="13"/>
                <c:pt idx="0">
                  <c:v>1.02</c:v>
                </c:pt>
                <c:pt idx="1">
                  <c:v>0.57999999999999996</c:v>
                </c:pt>
                <c:pt idx="2">
                  <c:v>0.4</c:v>
                </c:pt>
                <c:pt idx="3">
                  <c:v>0.31</c:v>
                </c:pt>
                <c:pt idx="4">
                  <c:v>0.25</c:v>
                </c:pt>
                <c:pt idx="5">
                  <c:v>0.21</c:v>
                </c:pt>
                <c:pt idx="6">
                  <c:v>0.18</c:v>
                </c:pt>
                <c:pt idx="7">
                  <c:v>0.16</c:v>
                </c:pt>
                <c:pt idx="8">
                  <c:v>0.14000000000000001</c:v>
                </c:pt>
                <c:pt idx="9">
                  <c:v>0.13</c:v>
                </c:pt>
                <c:pt idx="10">
                  <c:v>0.12</c:v>
                </c:pt>
                <c:pt idx="11">
                  <c:v>0.11</c:v>
                </c:pt>
                <c:pt idx="12">
                  <c:v>0.1</c:v>
                </c:pt>
              </c:numCache>
            </c:numRef>
          </c:xVal>
          <c:yVal>
            <c:numRef>
              <c:f>'U+Qt'!$I$78:$I$90</c:f>
              <c:numCache>
                <c:formatCode>_-* #,##0.00\ "€"_-;\-* #,##0.00\ "€"_-;_-* "-"??\ "€"_-;_-@_-</c:formatCode>
                <c:ptCount val="13"/>
                <c:pt idx="0">
                  <c:v>298.9291177060295</c:v>
                </c:pt>
                <c:pt idx="1">
                  <c:v>175.77636104852655</c:v>
                </c:pt>
                <c:pt idx="2">
                  <c:v>127.78886968863904</c:v>
                </c:pt>
                <c:pt idx="3">
                  <c:v>105.82012400869523</c:v>
                </c:pt>
                <c:pt idx="4">
                  <c:v>92.524293555399396</c:v>
                </c:pt>
                <c:pt idx="5">
                  <c:v>85.010406586535495</c:v>
                </c:pt>
                <c:pt idx="6">
                  <c:v>80.387491359887548</c:v>
                </c:pt>
                <c:pt idx="7">
                  <c:v>78.655547875455611</c:v>
                </c:pt>
                <c:pt idx="8">
                  <c:v>76.923604391023673</c:v>
                </c:pt>
                <c:pt idx="9">
                  <c:v>78.082632648807689</c:v>
                </c:pt>
                <c:pt idx="10">
                  <c:v>79.241660906591704</c:v>
                </c:pt>
                <c:pt idx="11">
                  <c:v>80.400689164375734</c:v>
                </c:pt>
                <c:pt idx="12">
                  <c:v>81.559717422159764</c:v>
                </c:pt>
              </c:numCache>
            </c:numRef>
          </c:yVal>
          <c:smooth val="1"/>
        </c:ser>
        <c:ser>
          <c:idx val="1"/>
          <c:order val="1"/>
          <c:tx>
            <c:strRef>
              <c:f>'U+Qt'!$E$76:$E$77</c:f>
              <c:strCache>
                <c:ptCount val="2"/>
                <c:pt idx="0">
                  <c:v>Invest Ki</c:v>
                </c:pt>
                <c:pt idx="1">
                  <c:v>€/m²</c:v>
                </c:pt>
              </c:strCache>
            </c:strRef>
          </c:tx>
          <c:spPr>
            <a:ln w="19050" cap="rnd">
              <a:solidFill>
                <a:schemeClr val="tx1">
                  <a:lumMod val="50000"/>
                  <a:lumOff val="50000"/>
                </a:schemeClr>
              </a:solidFill>
              <a:round/>
            </a:ln>
            <a:effectLst/>
          </c:spPr>
          <c:marker>
            <c:symbol val="circle"/>
            <c:size val="5"/>
            <c:spPr>
              <a:solidFill>
                <a:schemeClr val="tx1">
                  <a:lumMod val="50000"/>
                  <a:lumOff val="50000"/>
                </a:schemeClr>
              </a:solidFill>
              <a:ln w="9525">
                <a:solidFill>
                  <a:schemeClr val="tx1">
                    <a:lumMod val="50000"/>
                    <a:lumOff val="50000"/>
                  </a:schemeClr>
                </a:solidFill>
              </a:ln>
              <a:effectLst/>
            </c:spPr>
          </c:marker>
          <c:xVal>
            <c:numRef>
              <c:f>'U+Qt'!$D$78:$D$90</c:f>
              <c:numCache>
                <c:formatCode>0.00</c:formatCode>
                <c:ptCount val="13"/>
                <c:pt idx="0">
                  <c:v>1.02</c:v>
                </c:pt>
                <c:pt idx="1">
                  <c:v>0.57999999999999996</c:v>
                </c:pt>
                <c:pt idx="2">
                  <c:v>0.4</c:v>
                </c:pt>
                <c:pt idx="3">
                  <c:v>0.31</c:v>
                </c:pt>
                <c:pt idx="4">
                  <c:v>0.25</c:v>
                </c:pt>
                <c:pt idx="5">
                  <c:v>0.21</c:v>
                </c:pt>
                <c:pt idx="6">
                  <c:v>0.18</c:v>
                </c:pt>
                <c:pt idx="7">
                  <c:v>0.16</c:v>
                </c:pt>
                <c:pt idx="8">
                  <c:v>0.14000000000000001</c:v>
                </c:pt>
                <c:pt idx="9">
                  <c:v>0.13</c:v>
                </c:pt>
                <c:pt idx="10">
                  <c:v>0.12</c:v>
                </c:pt>
                <c:pt idx="11">
                  <c:v>0.11</c:v>
                </c:pt>
                <c:pt idx="12">
                  <c:v>0.1</c:v>
                </c:pt>
              </c:numCache>
            </c:numRef>
          </c:xVal>
          <c:yVal>
            <c:numRef>
              <c:f>'U+Qt'!$E$78:$E$90</c:f>
              <c:numCache>
                <c:formatCode>_-* #,##0.00\ "€"_-;\-* #,##0.00\ "€"_-;_-* "-"??\ "€"_-;_-@_-</c:formatCode>
                <c:ptCount val="13"/>
                <c:pt idx="0">
                  <c:v>4.0500000000000007</c:v>
                </c:pt>
                <c:pt idx="1">
                  <c:v>8.1000000000000014</c:v>
                </c:pt>
                <c:pt idx="2">
                  <c:v>12.15</c:v>
                </c:pt>
                <c:pt idx="3">
                  <c:v>16.200000000000003</c:v>
                </c:pt>
                <c:pt idx="4">
                  <c:v>20.25</c:v>
                </c:pt>
                <c:pt idx="5">
                  <c:v>24.3</c:v>
                </c:pt>
                <c:pt idx="6">
                  <c:v>28.35</c:v>
                </c:pt>
                <c:pt idx="7">
                  <c:v>32.400000000000006</c:v>
                </c:pt>
                <c:pt idx="8">
                  <c:v>36.450000000000003</c:v>
                </c:pt>
                <c:pt idx="9">
                  <c:v>40.5</c:v>
                </c:pt>
                <c:pt idx="10">
                  <c:v>44.550000000000004</c:v>
                </c:pt>
                <c:pt idx="11">
                  <c:v>48.6</c:v>
                </c:pt>
                <c:pt idx="12">
                  <c:v>52.650000000000006</c:v>
                </c:pt>
              </c:numCache>
            </c:numRef>
          </c:yVal>
          <c:smooth val="1"/>
        </c:ser>
        <c:ser>
          <c:idx val="2"/>
          <c:order val="2"/>
          <c:tx>
            <c:strRef>
              <c:f>'U+Qt'!$G$76:$G$77</c:f>
              <c:strCache>
                <c:ptCount val="2"/>
                <c:pt idx="0">
                  <c:v>Wärmekosten Ke</c:v>
                </c:pt>
                <c:pt idx="1">
                  <c:v>€/m²</c:v>
                </c:pt>
              </c:strCache>
            </c:strRef>
          </c:tx>
          <c:spPr>
            <a:ln w="19050" cap="rnd">
              <a:solidFill>
                <a:srgbClr val="FFC000"/>
              </a:solidFill>
              <a:round/>
            </a:ln>
            <a:effectLst/>
          </c:spPr>
          <c:marker>
            <c:symbol val="circle"/>
            <c:size val="5"/>
            <c:spPr>
              <a:solidFill>
                <a:srgbClr val="FFC000"/>
              </a:solidFill>
              <a:ln w="9525">
                <a:solidFill>
                  <a:srgbClr val="FFC000"/>
                </a:solidFill>
              </a:ln>
              <a:effectLst/>
            </c:spPr>
          </c:marker>
          <c:xVal>
            <c:numRef>
              <c:f>'U+Qt'!$D$78:$D$90</c:f>
              <c:numCache>
                <c:formatCode>0.00</c:formatCode>
                <c:ptCount val="13"/>
                <c:pt idx="0">
                  <c:v>1.02</c:v>
                </c:pt>
                <c:pt idx="1">
                  <c:v>0.57999999999999996</c:v>
                </c:pt>
                <c:pt idx="2">
                  <c:v>0.4</c:v>
                </c:pt>
                <c:pt idx="3">
                  <c:v>0.31</c:v>
                </c:pt>
                <c:pt idx="4">
                  <c:v>0.25</c:v>
                </c:pt>
                <c:pt idx="5">
                  <c:v>0.21</c:v>
                </c:pt>
                <c:pt idx="6">
                  <c:v>0.18</c:v>
                </c:pt>
                <c:pt idx="7">
                  <c:v>0.16</c:v>
                </c:pt>
                <c:pt idx="8">
                  <c:v>0.14000000000000001</c:v>
                </c:pt>
                <c:pt idx="9">
                  <c:v>0.13</c:v>
                </c:pt>
                <c:pt idx="10">
                  <c:v>0.12</c:v>
                </c:pt>
                <c:pt idx="11">
                  <c:v>0.11</c:v>
                </c:pt>
                <c:pt idx="12">
                  <c:v>0.1</c:v>
                </c:pt>
              </c:numCache>
            </c:numRef>
          </c:xVal>
          <c:yVal>
            <c:numRef>
              <c:f>'U+Qt'!$G$78:$G$90</c:f>
              <c:numCache>
                <c:formatCode>_-* #,##0.00\ "€"_-;\-* #,##0.00\ "€"_-;_-* "-"??\ "€"_-;_-@_-</c:formatCode>
                <c:ptCount val="13"/>
                <c:pt idx="0">
                  <c:v>294.87911770602949</c:v>
                </c:pt>
                <c:pt idx="1">
                  <c:v>167.67636104852656</c:v>
                </c:pt>
                <c:pt idx="2">
                  <c:v>115.63886968863903</c:v>
                </c:pt>
                <c:pt idx="3">
                  <c:v>89.620124008695228</c:v>
                </c:pt>
                <c:pt idx="4">
                  <c:v>72.274293555399396</c:v>
                </c:pt>
                <c:pt idx="5">
                  <c:v>60.710406586535491</c:v>
                </c:pt>
                <c:pt idx="6">
                  <c:v>52.037491359887554</c:v>
                </c:pt>
                <c:pt idx="7">
                  <c:v>46.255547875455605</c:v>
                </c:pt>
                <c:pt idx="8">
                  <c:v>40.473604391023663</c:v>
                </c:pt>
                <c:pt idx="9">
                  <c:v>37.582632648807689</c:v>
                </c:pt>
                <c:pt idx="10">
                  <c:v>34.691660906591707</c:v>
                </c:pt>
                <c:pt idx="11">
                  <c:v>31.800689164375729</c:v>
                </c:pt>
                <c:pt idx="12">
                  <c:v>28.909717422159758</c:v>
                </c:pt>
              </c:numCache>
            </c:numRef>
          </c:yVal>
          <c:smooth val="1"/>
        </c:ser>
        <c:dLbls>
          <c:showLegendKey val="0"/>
          <c:showVal val="0"/>
          <c:showCatName val="0"/>
          <c:showSerName val="0"/>
          <c:showPercent val="0"/>
          <c:showBubbleSize val="0"/>
        </c:dLbls>
        <c:axId val="460104904"/>
        <c:axId val="460097848"/>
      </c:scatterChart>
      <c:valAx>
        <c:axId val="460104904"/>
        <c:scaling>
          <c:orientation val="minMax"/>
          <c:max val="0.35000000000000003"/>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U-Wert W/(m²K)</a:t>
                </a:r>
              </a:p>
            </c:rich>
          </c:tx>
          <c:layout>
            <c:manualLayout>
              <c:xMode val="edge"/>
              <c:yMode val="edge"/>
              <c:x val="0.43323118985126863"/>
              <c:y val="0.862000955502286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097848"/>
        <c:crosses val="autoZero"/>
        <c:crossBetween val="midCat"/>
        <c:majorUnit val="2.0000000000000004E-2"/>
      </c:valAx>
      <c:valAx>
        <c:axId val="460097848"/>
        <c:scaling>
          <c:orientation val="minMax"/>
          <c:max val="110"/>
          <c:min val="10"/>
        </c:scaling>
        <c:delete val="0"/>
        <c:axPos val="l"/>
        <c:majorGridlines>
          <c:spPr>
            <a:ln w="9525" cap="flat" cmpd="sng" algn="ctr">
              <a:solidFill>
                <a:schemeClr val="tx1">
                  <a:lumMod val="15000"/>
                  <a:lumOff val="85000"/>
                </a:schemeClr>
              </a:solidFill>
              <a:round/>
            </a:ln>
            <a:effectLst/>
          </c:spPr>
        </c:majorGridlines>
        <c:numFmt formatCode="_-* #,##0.00\ &quot;€&quot;_-;\-* #,##0.00\ &quot;€&quot;_-;_-* &quot;-&quot;??\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104904"/>
        <c:crosses val="autoZero"/>
        <c:crossBetween val="midCat"/>
      </c:valAx>
      <c:spPr>
        <a:noFill/>
        <a:ln>
          <a:noFill/>
        </a:ln>
        <a:effectLst/>
      </c:spPr>
    </c:plotArea>
    <c:legend>
      <c:legendPos val="b"/>
      <c:layout>
        <c:manualLayout>
          <c:xMode val="edge"/>
          <c:yMode val="edge"/>
          <c:x val="0.58333880139982497"/>
          <c:y val="0.54062974007830666"/>
          <c:w val="0.38610564304461942"/>
          <c:h val="0.238253659392684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36221538302996"/>
          <c:y val="3.5426740062824771E-2"/>
          <c:w val="0.7242611579084095"/>
          <c:h val="0.783741398071227"/>
        </c:manualLayout>
      </c:layout>
      <c:barChart>
        <c:barDir val="col"/>
        <c:grouping val="stacked"/>
        <c:varyColors val="0"/>
        <c:ser>
          <c:idx val="0"/>
          <c:order val="0"/>
          <c:tx>
            <c:strRef>
              <c:f>Balance!$O$20</c:f>
              <c:strCache>
                <c:ptCount val="1"/>
                <c:pt idx="0">
                  <c:v>Energy construction</c:v>
                </c:pt>
              </c:strCache>
            </c:strRef>
          </c:tx>
          <c:spPr>
            <a:solidFill>
              <a:srgbClr val="99CC00"/>
            </a:solidFill>
            <a:ln>
              <a:noFill/>
            </a:ln>
            <a:effectLst/>
          </c:spPr>
          <c:invertIfNegative val="0"/>
          <c:cat>
            <c:strRef>
              <c:f>Balance!$K$23:$K$25</c:f>
              <c:strCache>
                <c:ptCount val="3"/>
                <c:pt idx="0">
                  <c:v>Ventilation</c:v>
                </c:pt>
                <c:pt idx="1">
                  <c:v>Opaque assemblies</c:v>
                </c:pt>
                <c:pt idx="2">
                  <c:v>Transparent components</c:v>
                </c:pt>
              </c:strCache>
            </c:strRef>
          </c:cat>
          <c:val>
            <c:numRef>
              <c:f>Balance!$O$23:$O$25</c:f>
              <c:numCache>
                <c:formatCode>0</c:formatCode>
                <c:ptCount val="3"/>
                <c:pt idx="1">
                  <c:v>231.21648341904702</c:v>
                </c:pt>
                <c:pt idx="2">
                  <c:v>66.810323818183761</c:v>
                </c:pt>
              </c:numCache>
            </c:numRef>
          </c:val>
        </c:ser>
        <c:ser>
          <c:idx val="1"/>
          <c:order val="1"/>
          <c:tx>
            <c:strRef>
              <c:f>Balance!$P$20</c:f>
              <c:strCache>
                <c:ptCount val="1"/>
                <c:pt idx="0">
                  <c:v>Energy service</c:v>
                </c:pt>
              </c:strCache>
            </c:strRef>
          </c:tx>
          <c:spPr>
            <a:solidFill>
              <a:schemeClr val="accent2"/>
            </a:solidFill>
            <a:ln>
              <a:noFill/>
            </a:ln>
            <a:effectLst/>
          </c:spPr>
          <c:invertIfNegative val="0"/>
          <c:cat>
            <c:strRef>
              <c:f>Balance!$K$23:$K$25</c:f>
              <c:strCache>
                <c:ptCount val="3"/>
                <c:pt idx="0">
                  <c:v>Ventilation</c:v>
                </c:pt>
                <c:pt idx="1">
                  <c:v>Opaque assemblies</c:v>
                </c:pt>
                <c:pt idx="2">
                  <c:v>Transparent components</c:v>
                </c:pt>
              </c:strCache>
            </c:strRef>
          </c:cat>
          <c:val>
            <c:numRef>
              <c:f>Balance!$P$23:$P$25</c:f>
              <c:numCache>
                <c:formatCode>0</c:formatCode>
                <c:ptCount val="3"/>
                <c:pt idx="0">
                  <c:v>23.658525000000001</c:v>
                </c:pt>
                <c:pt idx="1">
                  <c:v>231.665520730286</c:v>
                </c:pt>
                <c:pt idx="2">
                  <c:v>31.370216444998096</c:v>
                </c:pt>
              </c:numCache>
            </c:numRef>
          </c:val>
        </c:ser>
        <c:dLbls>
          <c:showLegendKey val="0"/>
          <c:showVal val="0"/>
          <c:showCatName val="0"/>
          <c:showSerName val="0"/>
          <c:showPercent val="0"/>
          <c:showBubbleSize val="0"/>
        </c:dLbls>
        <c:gapWidth val="488"/>
        <c:overlap val="100"/>
        <c:axId val="460101768"/>
        <c:axId val="460102944"/>
      </c:barChart>
      <c:lineChart>
        <c:grouping val="standard"/>
        <c:varyColors val="0"/>
        <c:ser>
          <c:idx val="2"/>
          <c:order val="2"/>
          <c:tx>
            <c:strRef>
              <c:f>Balance!$Q$20</c:f>
              <c:strCache>
                <c:ptCount val="1"/>
                <c:pt idx="0">
                  <c:v>GWP total</c:v>
                </c:pt>
              </c:strCache>
            </c:strRef>
          </c:tx>
          <c:spPr>
            <a:ln w="25400" cap="rnd">
              <a:noFill/>
              <a:round/>
            </a:ln>
            <a:effectLst/>
          </c:spPr>
          <c:marker>
            <c:symbol val="circle"/>
            <c:size val="6"/>
            <c:spPr>
              <a:solidFill>
                <a:schemeClr val="tx1"/>
              </a:solidFill>
              <a:ln w="9525">
                <a:noFill/>
              </a:ln>
              <a:effectLst/>
            </c:spPr>
          </c:marker>
          <c:cat>
            <c:strRef>
              <c:f>'Opaque assemblies'!$BO$9:$BO$25</c:f>
              <c:strCache>
                <c:ptCount val="17"/>
                <c:pt idx="0">
                  <c:v>01 Flor slab, Concrete, XPS</c:v>
                </c:pt>
                <c:pt idx="1">
                  <c:v>02 Exterior wall, Lime-Sand stone, EPS</c:v>
                </c:pt>
                <c:pt idx="2">
                  <c:v>03 Roof, Cellulose</c:v>
                </c:pt>
                <c:pt idx="3">
                  <c:v>04 Wall to neighbour</c:v>
                </c:pt>
                <c:pt idx="4">
                  <c:v>05 Interior ceiling</c:v>
                </c:pt>
                <c:pt idx="5">
                  <c:v>06 Interior wall</c:v>
                </c:pt>
                <c:pt idx="6">
                  <c:v>07 EIFS Wood faser</c:v>
                </c:pt>
                <c:pt idx="7">
                  <c:v>08 Leightweight timber wall Cellulose</c:v>
                </c:pt>
                <c:pt idx="8">
                  <c:v>09 Monolithic Aerated concrete</c:v>
                </c:pt>
                <c:pt idx="9">
                  <c:v>10 Monolithic Brickwork</c:v>
                </c:pt>
                <c:pt idx="10">
                  <c:v>11 Retrofit (EPS g)</c:v>
                </c:pt>
                <c:pt idx="11">
                  <c:v>12 Retrofit (Holzweichfaser)</c:v>
                </c:pt>
                <c:pt idx="12">
                  <c:v>13 Leightweight timber wall Mineral wool</c:v>
                </c:pt>
                <c:pt idx="13">
                  <c:v>14 Leightweight timber wall Straw</c:v>
                </c:pt>
                <c:pt idx="14">
                  <c:v>15 EIFS Phenol</c:v>
                </c:pt>
                <c:pt idx="15">
                  <c:v>16 EIFS Mineral faser</c:v>
                </c:pt>
                <c:pt idx="16">
                  <c:v>17 Test</c:v>
                </c:pt>
              </c:strCache>
            </c:strRef>
          </c:cat>
          <c:val>
            <c:numRef>
              <c:f>Balance!$Q$23:$Q$25</c:f>
              <c:numCache>
                <c:formatCode>0</c:formatCode>
                <c:ptCount val="3"/>
                <c:pt idx="0">
                  <c:v>4.4688325000000004</c:v>
                </c:pt>
                <c:pt idx="1">
                  <c:v>108.06661293409903</c:v>
                </c:pt>
                <c:pt idx="2">
                  <c:v>21.526451613278851</c:v>
                </c:pt>
              </c:numCache>
            </c:numRef>
          </c:val>
          <c:smooth val="0"/>
        </c:ser>
        <c:dLbls>
          <c:showLegendKey val="0"/>
          <c:showVal val="0"/>
          <c:showCatName val="0"/>
          <c:showSerName val="0"/>
          <c:showPercent val="0"/>
          <c:showBubbleSize val="0"/>
        </c:dLbls>
        <c:marker val="1"/>
        <c:smooth val="0"/>
        <c:axId val="460102552"/>
        <c:axId val="460103728"/>
      </c:lineChart>
      <c:catAx>
        <c:axId val="460101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102944"/>
        <c:crosses val="autoZero"/>
        <c:auto val="1"/>
        <c:lblAlgn val="ctr"/>
        <c:lblOffset val="100"/>
        <c:noMultiLvlLbl val="0"/>
      </c:catAx>
      <c:valAx>
        <c:axId val="460102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(Renewable) Primary Energy</a:t>
                </a:r>
                <a:r>
                  <a:rPr lang="de-DE" baseline="0"/>
                  <a:t> [kWh/m²]</a:t>
                </a:r>
                <a:endParaRPr lang="de-D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101768"/>
        <c:crosses val="autoZero"/>
        <c:crossBetween val="between"/>
      </c:valAx>
      <c:valAx>
        <c:axId val="46010372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GWP Total [kg</a:t>
                </a:r>
                <a:r>
                  <a:rPr lang="de-DE" baseline="0"/>
                  <a:t> CO2eq/m²]</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102552"/>
        <c:crosses val="max"/>
        <c:crossBetween val="between"/>
      </c:valAx>
      <c:catAx>
        <c:axId val="460102552"/>
        <c:scaling>
          <c:orientation val="minMax"/>
        </c:scaling>
        <c:delete val="1"/>
        <c:axPos val="b"/>
        <c:numFmt formatCode="General" sourceLinked="1"/>
        <c:majorTickMark val="out"/>
        <c:minorTickMark val="none"/>
        <c:tickLblPos val="nextTo"/>
        <c:crossAx val="460103728"/>
        <c:crosses val="autoZero"/>
        <c:auto val="1"/>
        <c:lblAlgn val="ctr"/>
        <c:lblOffset val="100"/>
        <c:noMultiLvlLbl val="0"/>
      </c:catAx>
      <c:spPr>
        <a:noFill/>
        <a:ln>
          <a:noFill/>
        </a:ln>
        <a:effectLst/>
      </c:spPr>
    </c:plotArea>
    <c:legend>
      <c:legendPos val="b"/>
      <c:layout>
        <c:manualLayout>
          <c:xMode val="edge"/>
          <c:yMode val="edge"/>
          <c:x val="0.16339948456669157"/>
          <c:y val="2.0305404633609629E-2"/>
          <c:w val="0.69849954276077486"/>
          <c:h val="7.2816068365846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36221538302996"/>
          <c:y val="3.5426740062824771E-2"/>
          <c:w val="0.7242611579084095"/>
          <c:h val="0.65337103056310764"/>
        </c:manualLayout>
      </c:layout>
      <c:barChart>
        <c:barDir val="col"/>
        <c:grouping val="stacked"/>
        <c:varyColors val="0"/>
        <c:ser>
          <c:idx val="0"/>
          <c:order val="0"/>
          <c:tx>
            <c:strRef>
              <c:f>'Opaque assemblies'!$BP$8</c:f>
              <c:strCache>
                <c:ptCount val="1"/>
                <c:pt idx="0">
                  <c:v>Energy Construction [kWh/m²]</c:v>
                </c:pt>
              </c:strCache>
            </c:strRef>
          </c:tx>
          <c:spPr>
            <a:solidFill>
              <a:srgbClr val="99CC00"/>
            </a:solidFill>
            <a:ln>
              <a:noFill/>
            </a:ln>
            <a:effectLst/>
          </c:spPr>
          <c:invertIfNegative val="0"/>
          <c:cat>
            <c:strRef>
              <c:f>'Opaque assemblies'!$BO$9:$BO$25</c:f>
              <c:strCache>
                <c:ptCount val="17"/>
                <c:pt idx="0">
                  <c:v>01 Flor slab, Concrete, XPS</c:v>
                </c:pt>
                <c:pt idx="1">
                  <c:v>02 Exterior wall, Lime-Sand stone, EPS</c:v>
                </c:pt>
                <c:pt idx="2">
                  <c:v>03 Roof, Cellulose</c:v>
                </c:pt>
                <c:pt idx="3">
                  <c:v>04 Wall to neighbour</c:v>
                </c:pt>
                <c:pt idx="4">
                  <c:v>05 Interior ceiling</c:v>
                </c:pt>
                <c:pt idx="5">
                  <c:v>06 Interior wall</c:v>
                </c:pt>
                <c:pt idx="6">
                  <c:v>07 EIFS Wood faser</c:v>
                </c:pt>
                <c:pt idx="7">
                  <c:v>08 Leightweight timber wall Cellulose</c:v>
                </c:pt>
                <c:pt idx="8">
                  <c:v>09 Monolithic Aerated concrete</c:v>
                </c:pt>
                <c:pt idx="9">
                  <c:v>10 Monolithic Brickwork</c:v>
                </c:pt>
                <c:pt idx="10">
                  <c:v>11 Retrofit (EPS g)</c:v>
                </c:pt>
                <c:pt idx="11">
                  <c:v>12 Retrofit (Holzweichfaser)</c:v>
                </c:pt>
                <c:pt idx="12">
                  <c:v>13 Leightweight timber wall Mineral wool</c:v>
                </c:pt>
                <c:pt idx="13">
                  <c:v>14 Leightweight timber wall Straw</c:v>
                </c:pt>
                <c:pt idx="14">
                  <c:v>15 EIFS Phenol</c:v>
                </c:pt>
                <c:pt idx="15">
                  <c:v>16 EIFS Mineral faser</c:v>
                </c:pt>
                <c:pt idx="16">
                  <c:v>17 Test</c:v>
                </c:pt>
              </c:strCache>
            </c:strRef>
          </c:cat>
          <c:val>
            <c:numRef>
              <c:f>'Opaque assemblies'!$BP$9:$BP$25</c:f>
              <c:numCache>
                <c:formatCode>0</c:formatCode>
                <c:ptCount val="17"/>
                <c:pt idx="0">
                  <c:v>72.784070059216987</c:v>
                </c:pt>
                <c:pt idx="1">
                  <c:v>67.674953885640249</c:v>
                </c:pt>
                <c:pt idx="2">
                  <c:v>53.546767705816407</c:v>
                </c:pt>
                <c:pt idx="3">
                  <c:v>35.729227504422099</c:v>
                </c:pt>
                <c:pt idx="4">
                  <c:v>56.44323484194647</c:v>
                </c:pt>
                <c:pt idx="5">
                  <c:v>26.888569929538704</c:v>
                </c:pt>
                <c:pt idx="6">
                  <c:v>141.68255769591184</c:v>
                </c:pt>
                <c:pt idx="7">
                  <c:v>58.706432687464485</c:v>
                </c:pt>
                <c:pt idx="8">
                  <c:v>46.177909529053856</c:v>
                </c:pt>
                <c:pt idx="9">
                  <c:v>71.841674811474761</c:v>
                </c:pt>
                <c:pt idx="10">
                  <c:v>31.072018831012578</c:v>
                </c:pt>
                <c:pt idx="11">
                  <c:v>104.94735635752865</c:v>
                </c:pt>
                <c:pt idx="12">
                  <c:v>73.020901886601237</c:v>
                </c:pt>
                <c:pt idx="13">
                  <c:v>59.1994597651072</c:v>
                </c:pt>
                <c:pt idx="14">
                  <c:v>74.23891510710888</c:v>
                </c:pt>
                <c:pt idx="15">
                  <c:v>117.29240718997278</c:v>
                </c:pt>
                <c:pt idx="16">
                  <c:v>0</c:v>
                </c:pt>
              </c:numCache>
            </c:numRef>
          </c:val>
        </c:ser>
        <c:ser>
          <c:idx val="1"/>
          <c:order val="1"/>
          <c:tx>
            <c:strRef>
              <c:f>'Opaque assemblies'!$BQ$8</c:f>
              <c:strCache>
                <c:ptCount val="1"/>
                <c:pt idx="0">
                  <c:v>Energy Service [kWh/m²]</c:v>
                </c:pt>
              </c:strCache>
            </c:strRef>
          </c:tx>
          <c:spPr>
            <a:solidFill>
              <a:schemeClr val="accent2"/>
            </a:solidFill>
            <a:ln>
              <a:noFill/>
            </a:ln>
            <a:effectLst/>
          </c:spPr>
          <c:invertIfNegative val="0"/>
          <c:cat>
            <c:strRef>
              <c:f>'Opaque assemblies'!$BO$9:$BO$25</c:f>
              <c:strCache>
                <c:ptCount val="17"/>
                <c:pt idx="0">
                  <c:v>01 Flor slab, Concrete, XPS</c:v>
                </c:pt>
                <c:pt idx="1">
                  <c:v>02 Exterior wall, Lime-Sand stone, EPS</c:v>
                </c:pt>
                <c:pt idx="2">
                  <c:v>03 Roof, Cellulose</c:v>
                </c:pt>
                <c:pt idx="3">
                  <c:v>04 Wall to neighbour</c:v>
                </c:pt>
                <c:pt idx="4">
                  <c:v>05 Interior ceiling</c:v>
                </c:pt>
                <c:pt idx="5">
                  <c:v>06 Interior wall</c:v>
                </c:pt>
                <c:pt idx="6">
                  <c:v>07 EIFS Wood faser</c:v>
                </c:pt>
                <c:pt idx="7">
                  <c:v>08 Leightweight timber wall Cellulose</c:v>
                </c:pt>
                <c:pt idx="8">
                  <c:v>09 Monolithic Aerated concrete</c:v>
                </c:pt>
                <c:pt idx="9">
                  <c:v>10 Monolithic Brickwork</c:v>
                </c:pt>
                <c:pt idx="10">
                  <c:v>11 Retrofit (EPS g)</c:v>
                </c:pt>
                <c:pt idx="11">
                  <c:v>12 Retrofit (Holzweichfaser)</c:v>
                </c:pt>
                <c:pt idx="12">
                  <c:v>13 Leightweight timber wall Mineral wool</c:v>
                </c:pt>
                <c:pt idx="13">
                  <c:v>14 Leightweight timber wall Straw</c:v>
                </c:pt>
                <c:pt idx="14">
                  <c:v>15 EIFS Phenol</c:v>
                </c:pt>
                <c:pt idx="15">
                  <c:v>16 EIFS Mineral faser</c:v>
                </c:pt>
                <c:pt idx="16">
                  <c:v>17 Test</c:v>
                </c:pt>
              </c:strCache>
            </c:strRef>
          </c:cat>
          <c:val>
            <c:numRef>
              <c:f>'Opaque assemblies'!$BQ$9:$BQ$25</c:f>
              <c:numCache>
                <c:formatCode>0</c:formatCode>
                <c:ptCount val="17"/>
                <c:pt idx="0">
                  <c:v>74.467144991268128</c:v>
                </c:pt>
                <c:pt idx="1">
                  <c:v>133.35878859738148</c:v>
                </c:pt>
                <c:pt idx="2">
                  <c:v>93.677313428297794</c:v>
                </c:pt>
                <c:pt idx="3">
                  <c:v>0</c:v>
                </c:pt>
                <c:pt idx="4">
                  <c:v>0</c:v>
                </c:pt>
                <c:pt idx="5">
                  <c:v>0</c:v>
                </c:pt>
                <c:pt idx="6">
                  <c:v>155.95586420841124</c:v>
                </c:pt>
                <c:pt idx="7">
                  <c:v>155.91957050210107</c:v>
                </c:pt>
                <c:pt idx="8">
                  <c:v>156.13382899628252</c:v>
                </c:pt>
                <c:pt idx="9">
                  <c:v>156.13382899628252</c:v>
                </c:pt>
                <c:pt idx="10">
                  <c:v>155.9398306304507</c:v>
                </c:pt>
                <c:pt idx="11">
                  <c:v>108.65507417231555</c:v>
                </c:pt>
                <c:pt idx="12">
                  <c:v>155.77414733416632</c:v>
                </c:pt>
                <c:pt idx="13">
                  <c:v>155.18237184000927</c:v>
                </c:pt>
                <c:pt idx="14">
                  <c:v>155.76949546056414</c:v>
                </c:pt>
                <c:pt idx="15">
                  <c:v>187.01184946146327</c:v>
                </c:pt>
                <c:pt idx="16">
                  <c:v>6196.0784313725489</c:v>
                </c:pt>
              </c:numCache>
            </c:numRef>
          </c:val>
        </c:ser>
        <c:dLbls>
          <c:showLegendKey val="0"/>
          <c:showVal val="0"/>
          <c:showCatName val="0"/>
          <c:showSerName val="0"/>
          <c:showPercent val="0"/>
          <c:showBubbleSize val="0"/>
        </c:dLbls>
        <c:gapWidth val="488"/>
        <c:overlap val="100"/>
        <c:axId val="460104120"/>
        <c:axId val="460099024"/>
      </c:barChart>
      <c:lineChart>
        <c:grouping val="standard"/>
        <c:varyColors val="0"/>
        <c:ser>
          <c:idx val="2"/>
          <c:order val="2"/>
          <c:tx>
            <c:strRef>
              <c:f>'Opaque assemblies'!$BR$8</c:f>
              <c:strCache>
                <c:ptCount val="1"/>
                <c:pt idx="0">
                  <c:v>GWP Total [kg CO2eq/m²]</c:v>
                </c:pt>
              </c:strCache>
            </c:strRef>
          </c:tx>
          <c:spPr>
            <a:ln w="28575" cap="rnd">
              <a:noFill/>
              <a:round/>
            </a:ln>
            <a:effectLst/>
          </c:spPr>
          <c:marker>
            <c:symbol val="circle"/>
            <c:size val="6"/>
            <c:spPr>
              <a:solidFill>
                <a:schemeClr val="tx1"/>
              </a:solidFill>
              <a:ln w="9525">
                <a:noFill/>
              </a:ln>
              <a:effectLst/>
            </c:spPr>
          </c:marker>
          <c:cat>
            <c:strRef>
              <c:f>'Opaque assemblies'!$BO$9:$BO$25</c:f>
              <c:strCache>
                <c:ptCount val="17"/>
                <c:pt idx="0">
                  <c:v>01 Flor slab, Concrete, XPS</c:v>
                </c:pt>
                <c:pt idx="1">
                  <c:v>02 Exterior wall, Lime-Sand stone, EPS</c:v>
                </c:pt>
                <c:pt idx="2">
                  <c:v>03 Roof, Cellulose</c:v>
                </c:pt>
                <c:pt idx="3">
                  <c:v>04 Wall to neighbour</c:v>
                </c:pt>
                <c:pt idx="4">
                  <c:v>05 Interior ceiling</c:v>
                </c:pt>
                <c:pt idx="5">
                  <c:v>06 Interior wall</c:v>
                </c:pt>
                <c:pt idx="6">
                  <c:v>07 EIFS Wood faser</c:v>
                </c:pt>
                <c:pt idx="7">
                  <c:v>08 Leightweight timber wall Cellulose</c:v>
                </c:pt>
                <c:pt idx="8">
                  <c:v>09 Monolithic Aerated concrete</c:v>
                </c:pt>
                <c:pt idx="9">
                  <c:v>10 Monolithic Brickwork</c:v>
                </c:pt>
                <c:pt idx="10">
                  <c:v>11 Retrofit (EPS g)</c:v>
                </c:pt>
                <c:pt idx="11">
                  <c:v>12 Retrofit (Holzweichfaser)</c:v>
                </c:pt>
                <c:pt idx="12">
                  <c:v>13 Leightweight timber wall Mineral wool</c:v>
                </c:pt>
                <c:pt idx="13">
                  <c:v>14 Leightweight timber wall Straw</c:v>
                </c:pt>
                <c:pt idx="14">
                  <c:v>15 EIFS Phenol</c:v>
                </c:pt>
                <c:pt idx="15">
                  <c:v>16 EIFS Mineral faser</c:v>
                </c:pt>
                <c:pt idx="16">
                  <c:v>17 Test</c:v>
                </c:pt>
              </c:strCache>
            </c:strRef>
          </c:cat>
          <c:val>
            <c:numRef>
              <c:f>'Opaque assemblies'!$BR$9:$BR$25</c:f>
              <c:numCache>
                <c:formatCode>0</c:formatCode>
                <c:ptCount val="17"/>
                <c:pt idx="0">
                  <c:v>39.522629041671379</c:v>
                </c:pt>
                <c:pt idx="1">
                  <c:v>49.037348561980309</c:v>
                </c:pt>
                <c:pt idx="2">
                  <c:v>1.4360844007200342</c:v>
                </c:pt>
                <c:pt idx="3">
                  <c:v>15.426250673524892</c:v>
                </c:pt>
                <c:pt idx="4">
                  <c:v>22.593254496182151</c:v>
                </c:pt>
                <c:pt idx="5">
                  <c:v>10.475915614348221</c:v>
                </c:pt>
                <c:pt idx="6">
                  <c:v>25.334447101550616</c:v>
                </c:pt>
                <c:pt idx="7">
                  <c:v>15.171720537994288</c:v>
                </c:pt>
                <c:pt idx="8">
                  <c:v>50.818393432328392</c:v>
                </c:pt>
                <c:pt idx="9">
                  <c:v>50.609896834594849</c:v>
                </c:pt>
                <c:pt idx="10">
                  <c:v>38.008373142433179</c:v>
                </c:pt>
                <c:pt idx="11">
                  <c:v>3.4277458363202307</c:v>
                </c:pt>
                <c:pt idx="12">
                  <c:v>27.979022413786304</c:v>
                </c:pt>
                <c:pt idx="13">
                  <c:v>5.9447446468670044</c:v>
                </c:pt>
                <c:pt idx="14">
                  <c:v>53.740783069887271</c:v>
                </c:pt>
                <c:pt idx="15">
                  <c:v>70.463140823703938</c:v>
                </c:pt>
                <c:pt idx="16">
                  <c:v>1170.3703703703704</c:v>
                </c:pt>
              </c:numCache>
            </c:numRef>
          </c:val>
          <c:smooth val="0"/>
        </c:ser>
        <c:dLbls>
          <c:showLegendKey val="0"/>
          <c:showVal val="0"/>
          <c:showCatName val="0"/>
          <c:showSerName val="0"/>
          <c:showPercent val="0"/>
          <c:showBubbleSize val="0"/>
        </c:dLbls>
        <c:marker val="1"/>
        <c:smooth val="0"/>
        <c:axId val="460099808"/>
        <c:axId val="460104512"/>
      </c:lineChart>
      <c:catAx>
        <c:axId val="460104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099024"/>
        <c:crosses val="autoZero"/>
        <c:auto val="1"/>
        <c:lblAlgn val="ctr"/>
        <c:lblOffset val="100"/>
        <c:noMultiLvlLbl val="0"/>
      </c:catAx>
      <c:valAx>
        <c:axId val="460099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(Renewable) Primary Energy</a:t>
                </a:r>
                <a:r>
                  <a:rPr lang="de-DE" baseline="0"/>
                  <a:t> [kWh/(m²q)]</a:t>
                </a:r>
                <a:endParaRPr lang="de-D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104120"/>
        <c:crosses val="autoZero"/>
        <c:crossBetween val="between"/>
      </c:valAx>
      <c:valAx>
        <c:axId val="46010451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GWP Total [kg</a:t>
                </a:r>
                <a:r>
                  <a:rPr lang="de-DE" baseline="0"/>
                  <a:t> CO2eq/m²]</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099808"/>
        <c:crosses val="max"/>
        <c:crossBetween val="between"/>
      </c:valAx>
      <c:catAx>
        <c:axId val="460099808"/>
        <c:scaling>
          <c:orientation val="minMax"/>
        </c:scaling>
        <c:delete val="1"/>
        <c:axPos val="b"/>
        <c:numFmt formatCode="General" sourceLinked="1"/>
        <c:majorTickMark val="out"/>
        <c:minorTickMark val="none"/>
        <c:tickLblPos val="nextTo"/>
        <c:crossAx val="460104512"/>
        <c:crosses val="autoZero"/>
        <c:auto val="1"/>
        <c:lblAlgn val="ctr"/>
        <c:lblOffset val="100"/>
        <c:noMultiLvlLbl val="0"/>
      </c:catAx>
      <c:spPr>
        <a:noFill/>
        <a:ln>
          <a:noFill/>
        </a:ln>
        <a:effectLst/>
      </c:spPr>
    </c:plotArea>
    <c:legend>
      <c:legendPos val="b"/>
      <c:layout>
        <c:manualLayout>
          <c:xMode val="edge"/>
          <c:yMode val="edge"/>
          <c:x val="0.26596351273629337"/>
          <c:y val="8.4534744451987207E-3"/>
          <c:w val="0.64996217575056559"/>
          <c:h val="8.0113122120309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47928383952005"/>
          <c:y val="3.5426740062824771E-2"/>
          <c:w val="0.74352694891094528"/>
          <c:h val="0.86593147094005618"/>
        </c:manualLayout>
      </c:layout>
      <c:barChart>
        <c:barDir val="col"/>
        <c:grouping val="stacked"/>
        <c:varyColors val="0"/>
        <c:ser>
          <c:idx val="0"/>
          <c:order val="0"/>
          <c:tx>
            <c:strRef>
              <c:f>'Transparent components'!$AM$15</c:f>
              <c:strCache>
                <c:ptCount val="1"/>
                <c:pt idx="0">
                  <c:v>Energy Construction [kWh/m²]</c:v>
                </c:pt>
              </c:strCache>
            </c:strRef>
          </c:tx>
          <c:spPr>
            <a:solidFill>
              <a:srgbClr val="99CC00"/>
            </a:solidFill>
            <a:ln>
              <a:noFill/>
            </a:ln>
            <a:effectLst/>
          </c:spPr>
          <c:invertIfNegative val="0"/>
          <c:cat>
            <c:strRef>
              <c:f>'Transparent components'!$AL$17:$AL$26</c:f>
              <c:strCache>
                <c:ptCount val="7"/>
                <c:pt idx="0">
                  <c:v>Single glazing</c:v>
                </c:pt>
                <c:pt idx="1">
                  <c:v>Double glazing</c:v>
                </c:pt>
                <c:pt idx="2">
                  <c:v>Double low-e</c:v>
                </c:pt>
                <c:pt idx="3">
                  <c:v>Triple low-e (solar)</c:v>
                </c:pt>
                <c:pt idx="4">
                  <c:v>Triple low-e (U)</c:v>
                </c:pt>
                <c:pt idx="5">
                  <c:v>Triple low-e</c:v>
                </c:pt>
                <c:pt idx="6">
                  <c:v>Quadruple low-e</c:v>
                </c:pt>
              </c:strCache>
            </c:strRef>
          </c:cat>
          <c:val>
            <c:numRef>
              <c:f>'Transparent components'!$AM$17:$AM$26</c:f>
              <c:numCache>
                <c:formatCode>0</c:formatCode>
                <c:ptCount val="7"/>
                <c:pt idx="0">
                  <c:v>25.102385106774733</c:v>
                </c:pt>
                <c:pt idx="1">
                  <c:v>50.204770213549466</c:v>
                </c:pt>
                <c:pt idx="2">
                  <c:v>406.72908778503734</c:v>
                </c:pt>
                <c:pt idx="3">
                  <c:v>197.42970646159353</c:v>
                </c:pt>
                <c:pt idx="4">
                  <c:v>197.42970646159353</c:v>
                </c:pt>
                <c:pt idx="5">
                  <c:v>197.42970646159353</c:v>
                </c:pt>
                <c:pt idx="6">
                  <c:v>508.2189145460905</c:v>
                </c:pt>
              </c:numCache>
            </c:numRef>
          </c:val>
        </c:ser>
        <c:ser>
          <c:idx val="1"/>
          <c:order val="1"/>
          <c:tx>
            <c:strRef>
              <c:f>'Transparent components'!$AN$15</c:f>
              <c:strCache>
                <c:ptCount val="1"/>
                <c:pt idx="0">
                  <c:v>Energy Service [kWh/m²]</c:v>
                </c:pt>
              </c:strCache>
            </c:strRef>
          </c:tx>
          <c:spPr>
            <a:solidFill>
              <a:schemeClr val="accent2"/>
            </a:solidFill>
            <a:ln>
              <a:noFill/>
            </a:ln>
            <a:effectLst/>
          </c:spPr>
          <c:invertIfNegative val="0"/>
          <c:cat>
            <c:strRef>
              <c:f>'Transparent components'!$AL$17:$AL$26</c:f>
              <c:strCache>
                <c:ptCount val="7"/>
                <c:pt idx="0">
                  <c:v>Single glazing</c:v>
                </c:pt>
                <c:pt idx="1">
                  <c:v>Double glazing</c:v>
                </c:pt>
                <c:pt idx="2">
                  <c:v>Double low-e</c:v>
                </c:pt>
                <c:pt idx="3">
                  <c:v>Triple low-e (solar)</c:v>
                </c:pt>
                <c:pt idx="4">
                  <c:v>Triple low-e (U)</c:v>
                </c:pt>
                <c:pt idx="5">
                  <c:v>Triple low-e</c:v>
                </c:pt>
                <c:pt idx="6">
                  <c:v>Quadruple low-e</c:v>
                </c:pt>
              </c:strCache>
            </c:strRef>
          </c:cat>
          <c:val>
            <c:numRef>
              <c:f>'Transparent components'!$AN$17:$AN$26</c:f>
              <c:numCache>
                <c:formatCode>0</c:formatCode>
                <c:ptCount val="7"/>
                <c:pt idx="0">
                  <c:v>4382.1378228073509</c:v>
                </c:pt>
                <c:pt idx="1">
                  <c:v>2104.1168825344307</c:v>
                </c:pt>
                <c:pt idx="2">
                  <c:v>550.73504436670851</c:v>
                </c:pt>
                <c:pt idx="3">
                  <c:v>64.791240896915468</c:v>
                </c:pt>
                <c:pt idx="4">
                  <c:v>82.991774600548922</c:v>
                </c:pt>
                <c:pt idx="5">
                  <c:v>27.549360351076949</c:v>
                </c:pt>
                <c:pt idx="6">
                  <c:v>-70.071579921842329</c:v>
                </c:pt>
              </c:numCache>
            </c:numRef>
          </c:val>
        </c:ser>
        <c:dLbls>
          <c:showLegendKey val="0"/>
          <c:showVal val="0"/>
          <c:showCatName val="0"/>
          <c:showSerName val="0"/>
          <c:showPercent val="0"/>
          <c:showBubbleSize val="0"/>
        </c:dLbls>
        <c:gapWidth val="488"/>
        <c:overlap val="100"/>
        <c:axId val="460100200"/>
        <c:axId val="139800952"/>
      </c:barChart>
      <c:lineChart>
        <c:grouping val="standard"/>
        <c:varyColors val="0"/>
        <c:ser>
          <c:idx val="2"/>
          <c:order val="2"/>
          <c:tx>
            <c:strRef>
              <c:f>'Transparent components'!$AO$15</c:f>
              <c:strCache>
                <c:ptCount val="1"/>
                <c:pt idx="0">
                  <c:v>GWP Total [kg CO2eq/m²]</c:v>
                </c:pt>
              </c:strCache>
            </c:strRef>
          </c:tx>
          <c:spPr>
            <a:ln w="25400" cap="rnd">
              <a:noFill/>
              <a:round/>
            </a:ln>
            <a:effectLst/>
          </c:spPr>
          <c:marker>
            <c:symbol val="circle"/>
            <c:size val="6"/>
            <c:spPr>
              <a:solidFill>
                <a:schemeClr val="tx1"/>
              </a:solidFill>
              <a:ln w="9525">
                <a:noFill/>
              </a:ln>
              <a:effectLst/>
            </c:spPr>
          </c:marker>
          <c:cat>
            <c:strRef>
              <c:f>'Transparent components'!$AL$17:$AL$26</c:f>
              <c:strCache>
                <c:ptCount val="7"/>
                <c:pt idx="0">
                  <c:v>Single glazing</c:v>
                </c:pt>
                <c:pt idx="1">
                  <c:v>Double glazing</c:v>
                </c:pt>
                <c:pt idx="2">
                  <c:v>Double low-e</c:v>
                </c:pt>
                <c:pt idx="3">
                  <c:v>Triple low-e (solar)</c:v>
                </c:pt>
                <c:pt idx="4">
                  <c:v>Triple low-e (U)</c:v>
                </c:pt>
                <c:pt idx="5">
                  <c:v>Triple low-e</c:v>
                </c:pt>
                <c:pt idx="6">
                  <c:v>Quadruple low-e</c:v>
                </c:pt>
              </c:strCache>
            </c:strRef>
          </c:cat>
          <c:val>
            <c:numRef>
              <c:f>'Transparent components'!$AO$17:$AO$26</c:f>
              <c:numCache>
                <c:formatCode>0</c:formatCode>
                <c:ptCount val="7"/>
                <c:pt idx="0">
                  <c:v>834.4658478719598</c:v>
                </c:pt>
                <c:pt idx="1">
                  <c:v>410.9017071620907</c:v>
                </c:pt>
                <c:pt idx="2">
                  <c:v>216.43707545371058</c:v>
                </c:pt>
                <c:pt idx="3">
                  <c:v>65.804668703663481</c:v>
                </c:pt>
                <c:pt idx="4">
                  <c:v>69.242547292127568</c:v>
                </c:pt>
                <c:pt idx="5">
                  <c:v>58.770091267227308</c:v>
                </c:pt>
                <c:pt idx="6">
                  <c:v>159.24696448811824</c:v>
                </c:pt>
              </c:numCache>
            </c:numRef>
          </c:val>
          <c:smooth val="0"/>
        </c:ser>
        <c:dLbls>
          <c:showLegendKey val="0"/>
          <c:showVal val="0"/>
          <c:showCatName val="0"/>
          <c:showSerName val="0"/>
          <c:showPercent val="0"/>
          <c:showBubbleSize val="0"/>
        </c:dLbls>
        <c:marker val="1"/>
        <c:smooth val="0"/>
        <c:axId val="467122296"/>
        <c:axId val="139802912"/>
      </c:lineChart>
      <c:catAx>
        <c:axId val="460100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800952"/>
        <c:crosses val="autoZero"/>
        <c:auto val="1"/>
        <c:lblAlgn val="ctr"/>
        <c:lblOffset val="100"/>
        <c:noMultiLvlLbl val="0"/>
      </c:catAx>
      <c:valAx>
        <c:axId val="139800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(Renewable) Primary Energy</a:t>
                </a:r>
                <a:r>
                  <a:rPr lang="de-DE" baseline="0"/>
                  <a:t> [kWh/(m²q)]</a:t>
                </a:r>
                <a:endParaRPr lang="de-DE"/>
              </a:p>
            </c:rich>
          </c:tx>
          <c:layout>
            <c:manualLayout>
              <c:xMode val="edge"/>
              <c:yMode val="edge"/>
              <c:x val="1.6435390465971311E-2"/>
              <c:y val="0.1558720612110253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100200"/>
        <c:crosses val="autoZero"/>
        <c:crossBetween val="between"/>
      </c:valAx>
      <c:valAx>
        <c:axId val="13980291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GWP Total [kg</a:t>
                </a:r>
                <a:r>
                  <a:rPr lang="de-DE" baseline="0"/>
                  <a:t> CO2eq/m²]</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122296"/>
        <c:crosses val="max"/>
        <c:crossBetween val="between"/>
      </c:valAx>
      <c:catAx>
        <c:axId val="467122296"/>
        <c:scaling>
          <c:orientation val="minMax"/>
        </c:scaling>
        <c:delete val="1"/>
        <c:axPos val="b"/>
        <c:numFmt formatCode="General" sourceLinked="1"/>
        <c:majorTickMark val="out"/>
        <c:minorTickMark val="none"/>
        <c:tickLblPos val="nextTo"/>
        <c:crossAx val="139802912"/>
        <c:crosses val="autoZero"/>
        <c:auto val="1"/>
        <c:lblAlgn val="ctr"/>
        <c:lblOffset val="100"/>
        <c:noMultiLvlLbl val="0"/>
      </c:catAx>
      <c:spPr>
        <a:noFill/>
        <a:ln>
          <a:noFill/>
        </a:ln>
        <a:effectLst/>
      </c:spPr>
    </c:plotArea>
    <c:legend>
      <c:legendPos val="b"/>
      <c:layout>
        <c:manualLayout>
          <c:xMode val="edge"/>
          <c:yMode val="edge"/>
          <c:x val="0.16913097313217526"/>
          <c:y val="8.4534744451987207E-3"/>
          <c:w val="0.74679477565304342"/>
          <c:h val="8.0113122120309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47928383952005"/>
          <c:y val="3.5426740062824771E-2"/>
          <c:w val="0.74352694891094528"/>
          <c:h val="0.69792424279953069"/>
        </c:manualLayout>
      </c:layout>
      <c:barChart>
        <c:barDir val="col"/>
        <c:grouping val="stacked"/>
        <c:varyColors val="0"/>
        <c:ser>
          <c:idx val="0"/>
          <c:order val="0"/>
          <c:tx>
            <c:strRef>
              <c:f>'Transparent components'!$AM$15</c:f>
              <c:strCache>
                <c:ptCount val="1"/>
                <c:pt idx="0">
                  <c:v>Energy Construction [kWh/m²]</c:v>
                </c:pt>
              </c:strCache>
            </c:strRef>
          </c:tx>
          <c:spPr>
            <a:solidFill>
              <a:srgbClr val="99CC00"/>
            </a:solidFill>
            <a:ln>
              <a:noFill/>
            </a:ln>
            <a:effectLst/>
          </c:spPr>
          <c:invertIfNegative val="0"/>
          <c:cat>
            <c:strRef>
              <c:f>'Transparent components'!$AL$49:$AL$63</c:f>
              <c:strCache>
                <c:ptCount val="13"/>
                <c:pt idx="0">
                  <c:v>Timber frame</c:v>
                </c:pt>
                <c:pt idx="1">
                  <c:v>PH Timber frame with PU insulation</c:v>
                </c:pt>
                <c:pt idx="2">
                  <c:v>Timber frame IV 68</c:v>
                </c:pt>
                <c:pt idx="3">
                  <c:v>Ti-Alu integral</c:v>
                </c:pt>
                <c:pt idx="4">
                  <c:v>PH Ti-Alu integral with PU insulation</c:v>
                </c:pt>
                <c:pt idx="5">
                  <c:v>Ti-Alu</c:v>
                </c:pt>
                <c:pt idx="6">
                  <c:v>PH Ti-Alu</c:v>
                </c:pt>
                <c:pt idx="7">
                  <c:v>Vinyl frame</c:v>
                </c:pt>
                <c:pt idx="8">
                  <c:v>PH Vinyl frame</c:v>
                </c:pt>
                <c:pt idx="9">
                  <c:v>Alu frame</c:v>
                </c:pt>
                <c:pt idx="10">
                  <c:v>PH Alu frame</c:v>
                </c:pt>
                <c:pt idx="11">
                  <c:v>Schüco AWS 90.si+</c:v>
                </c:pt>
                <c:pt idx="12">
                  <c:v>Smartwin Solar</c:v>
                </c:pt>
              </c:strCache>
            </c:strRef>
          </c:cat>
          <c:val>
            <c:numRef>
              <c:f>'Transparent components'!$AM$49:$AM$63</c:f>
              <c:numCache>
                <c:formatCode>0</c:formatCode>
                <c:ptCount val="13"/>
                <c:pt idx="0">
                  <c:v>22.792820665026479</c:v>
                </c:pt>
                <c:pt idx="1">
                  <c:v>21.019988428001842</c:v>
                </c:pt>
                <c:pt idx="2">
                  <c:v>29.329227088418126</c:v>
                </c:pt>
                <c:pt idx="3">
                  <c:v>32.081295649680591</c:v>
                </c:pt>
                <c:pt idx="4">
                  <c:v>29.103820856823432</c:v>
                </c:pt>
                <c:pt idx="5">
                  <c:v>42.503561401381887</c:v>
                </c:pt>
                <c:pt idx="6">
                  <c:v>44.131236463393122</c:v>
                </c:pt>
                <c:pt idx="7">
                  <c:v>36.203898818082685</c:v>
                </c:pt>
                <c:pt idx="8">
                  <c:v>39.715137164019069</c:v>
                </c:pt>
                <c:pt idx="9">
                  <c:v>103.68745902652655</c:v>
                </c:pt>
                <c:pt idx="10">
                  <c:v>106.23399594486207</c:v>
                </c:pt>
                <c:pt idx="11">
                  <c:v>153.93365591688752</c:v>
                </c:pt>
                <c:pt idx="12">
                  <c:v>23.257993376424093</c:v>
                </c:pt>
              </c:numCache>
            </c:numRef>
          </c:val>
        </c:ser>
        <c:ser>
          <c:idx val="1"/>
          <c:order val="1"/>
          <c:tx>
            <c:strRef>
              <c:f>'Transparent components'!$AN$15</c:f>
              <c:strCache>
                <c:ptCount val="1"/>
                <c:pt idx="0">
                  <c:v>Energy Service [kWh/m²]</c:v>
                </c:pt>
              </c:strCache>
            </c:strRef>
          </c:tx>
          <c:spPr>
            <a:solidFill>
              <a:schemeClr val="accent2"/>
            </a:solidFill>
            <a:ln>
              <a:noFill/>
            </a:ln>
            <a:effectLst/>
          </c:spPr>
          <c:invertIfNegative val="0"/>
          <c:cat>
            <c:strRef>
              <c:f>'Transparent components'!$AL$49:$AL$63</c:f>
              <c:strCache>
                <c:ptCount val="13"/>
                <c:pt idx="0">
                  <c:v>Timber frame</c:v>
                </c:pt>
                <c:pt idx="1">
                  <c:v>PH Timber frame with PU insulation</c:v>
                </c:pt>
                <c:pt idx="2">
                  <c:v>Timber frame IV 68</c:v>
                </c:pt>
                <c:pt idx="3">
                  <c:v>Ti-Alu integral</c:v>
                </c:pt>
                <c:pt idx="4">
                  <c:v>PH Ti-Alu integral with PU insulation</c:v>
                </c:pt>
                <c:pt idx="5">
                  <c:v>Ti-Alu</c:v>
                </c:pt>
                <c:pt idx="6">
                  <c:v>PH Ti-Alu</c:v>
                </c:pt>
                <c:pt idx="7">
                  <c:v>Vinyl frame</c:v>
                </c:pt>
                <c:pt idx="8">
                  <c:v>PH Vinyl frame</c:v>
                </c:pt>
                <c:pt idx="9">
                  <c:v>Alu frame</c:v>
                </c:pt>
                <c:pt idx="10">
                  <c:v>PH Alu frame</c:v>
                </c:pt>
                <c:pt idx="11">
                  <c:v>Schüco AWS 90.si+</c:v>
                </c:pt>
                <c:pt idx="12">
                  <c:v>Smartwin Solar</c:v>
                </c:pt>
              </c:strCache>
            </c:strRef>
          </c:cat>
          <c:val>
            <c:numRef>
              <c:f>'Transparent components'!$AN$49:$AN$63</c:f>
              <c:numCache>
                <c:formatCode>0</c:formatCode>
                <c:ptCount val="13"/>
                <c:pt idx="0">
                  <c:v>162.00266666666664</c:v>
                </c:pt>
                <c:pt idx="1">
                  <c:v>129.68639999999999</c:v>
                </c:pt>
                <c:pt idx="2">
                  <c:v>311.78666666666663</c:v>
                </c:pt>
                <c:pt idx="3">
                  <c:v>139.24645333333333</c:v>
                </c:pt>
                <c:pt idx="4">
                  <c:v>92.903999999999982</c:v>
                </c:pt>
                <c:pt idx="5">
                  <c:v>190.44266666666664</c:v>
                </c:pt>
                <c:pt idx="6">
                  <c:v>128.50666666666666</c:v>
                </c:pt>
                <c:pt idx="7">
                  <c:v>193.25296000000003</c:v>
                </c:pt>
                <c:pt idx="8">
                  <c:v>138.7229466666667</c:v>
                </c:pt>
                <c:pt idx="9">
                  <c:v>220.29413333333335</c:v>
                </c:pt>
                <c:pt idx="10">
                  <c:v>144.41621333333327</c:v>
                </c:pt>
                <c:pt idx="11">
                  <c:v>180.66773333333333</c:v>
                </c:pt>
                <c:pt idx="12">
                  <c:v>76.301359999999988</c:v>
                </c:pt>
              </c:numCache>
            </c:numRef>
          </c:val>
        </c:ser>
        <c:dLbls>
          <c:showLegendKey val="0"/>
          <c:showVal val="0"/>
          <c:showCatName val="0"/>
          <c:showSerName val="0"/>
          <c:showPercent val="0"/>
          <c:showBubbleSize val="0"/>
        </c:dLbls>
        <c:gapWidth val="488"/>
        <c:overlap val="100"/>
        <c:axId val="467123080"/>
        <c:axId val="467120336"/>
      </c:barChart>
      <c:lineChart>
        <c:grouping val="standard"/>
        <c:varyColors val="0"/>
        <c:ser>
          <c:idx val="2"/>
          <c:order val="2"/>
          <c:tx>
            <c:strRef>
              <c:f>'Transparent components'!$AO$15</c:f>
              <c:strCache>
                <c:ptCount val="1"/>
                <c:pt idx="0">
                  <c:v>GWP Total [kg CO2eq/m²]</c:v>
                </c:pt>
              </c:strCache>
            </c:strRef>
          </c:tx>
          <c:spPr>
            <a:ln w="25400" cap="rnd">
              <a:noFill/>
              <a:round/>
            </a:ln>
            <a:effectLst/>
          </c:spPr>
          <c:marker>
            <c:symbol val="circle"/>
            <c:size val="6"/>
            <c:spPr>
              <a:solidFill>
                <a:schemeClr val="tx1"/>
              </a:solidFill>
              <a:ln w="9525">
                <a:noFill/>
              </a:ln>
              <a:effectLst/>
            </c:spPr>
          </c:marker>
          <c:cat>
            <c:strRef>
              <c:f>'Transparent components'!$AL$49:$AL$63</c:f>
              <c:strCache>
                <c:ptCount val="13"/>
                <c:pt idx="0">
                  <c:v>Timber frame</c:v>
                </c:pt>
                <c:pt idx="1">
                  <c:v>PH Timber frame with PU insulation</c:v>
                </c:pt>
                <c:pt idx="2">
                  <c:v>Timber frame IV 68</c:v>
                </c:pt>
                <c:pt idx="3">
                  <c:v>Ti-Alu integral</c:v>
                </c:pt>
                <c:pt idx="4">
                  <c:v>PH Ti-Alu integral with PU insulation</c:v>
                </c:pt>
                <c:pt idx="5">
                  <c:v>Ti-Alu</c:v>
                </c:pt>
                <c:pt idx="6">
                  <c:v>PH Ti-Alu</c:v>
                </c:pt>
                <c:pt idx="7">
                  <c:v>Vinyl frame</c:v>
                </c:pt>
                <c:pt idx="8">
                  <c:v>PH Vinyl frame</c:v>
                </c:pt>
                <c:pt idx="9">
                  <c:v>Alu frame</c:v>
                </c:pt>
                <c:pt idx="10">
                  <c:v>PH Alu frame</c:v>
                </c:pt>
                <c:pt idx="11">
                  <c:v>Schüco AWS 90.si+</c:v>
                </c:pt>
                <c:pt idx="12">
                  <c:v>Smartwin Solar</c:v>
                </c:pt>
              </c:strCache>
            </c:strRef>
          </c:cat>
          <c:val>
            <c:numRef>
              <c:f>'Transparent components'!$AO$49:$AO$63</c:f>
              <c:numCache>
                <c:formatCode>0</c:formatCode>
                <c:ptCount val="13"/>
                <c:pt idx="0">
                  <c:v>34.144145798434884</c:v>
                </c:pt>
                <c:pt idx="1">
                  <c:v>31.485029855522285</c:v>
                </c:pt>
                <c:pt idx="2">
                  <c:v>59.088172038114308</c:v>
                </c:pt>
                <c:pt idx="3">
                  <c:v>28.925992703711337</c:v>
                </c:pt>
                <c:pt idx="4">
                  <c:v>20.373748134415209</c:v>
                </c:pt>
                <c:pt idx="5">
                  <c:v>40.623362599707775</c:v>
                </c:pt>
                <c:pt idx="6">
                  <c:v>29.59774276734802</c:v>
                </c:pt>
                <c:pt idx="7">
                  <c:v>43.861521462014238</c:v>
                </c:pt>
                <c:pt idx="8">
                  <c:v>34.259140549023904</c:v>
                </c:pt>
                <c:pt idx="9">
                  <c:v>62.12794453012777</c:v>
                </c:pt>
                <c:pt idx="10">
                  <c:v>48.205644673612468</c:v>
                </c:pt>
                <c:pt idx="11">
                  <c:v>77.620664323511377</c:v>
                </c:pt>
                <c:pt idx="12">
                  <c:v>16.238582688788757</c:v>
                </c:pt>
              </c:numCache>
            </c:numRef>
          </c:val>
          <c:smooth val="0"/>
        </c:ser>
        <c:dLbls>
          <c:showLegendKey val="0"/>
          <c:showVal val="0"/>
          <c:showCatName val="0"/>
          <c:showSerName val="0"/>
          <c:showPercent val="0"/>
          <c:showBubbleSize val="0"/>
        </c:dLbls>
        <c:marker val="1"/>
        <c:smooth val="0"/>
        <c:axId val="467117592"/>
        <c:axId val="467115632"/>
      </c:lineChart>
      <c:catAx>
        <c:axId val="467123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120336"/>
        <c:crosses val="autoZero"/>
        <c:auto val="1"/>
        <c:lblAlgn val="ctr"/>
        <c:lblOffset val="100"/>
        <c:noMultiLvlLbl val="0"/>
      </c:catAx>
      <c:valAx>
        <c:axId val="467120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(Renewable) Primary Energy</a:t>
                </a:r>
                <a:r>
                  <a:rPr lang="de-DE" baseline="0"/>
                  <a:t> [kWh/(m²q)]</a:t>
                </a:r>
                <a:endParaRPr lang="de-DE"/>
              </a:p>
            </c:rich>
          </c:tx>
          <c:layout>
            <c:manualLayout>
              <c:xMode val="edge"/>
              <c:yMode val="edge"/>
              <c:x val="1.6435390465971311E-2"/>
              <c:y val="0.1558720612110253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123080"/>
        <c:crosses val="autoZero"/>
        <c:crossBetween val="between"/>
      </c:valAx>
      <c:valAx>
        <c:axId val="46711563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GWP Total [kg</a:t>
                </a:r>
                <a:r>
                  <a:rPr lang="de-DE" baseline="0"/>
                  <a:t> CO2eq/m²]</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117592"/>
        <c:crosses val="max"/>
        <c:crossBetween val="between"/>
      </c:valAx>
      <c:catAx>
        <c:axId val="467117592"/>
        <c:scaling>
          <c:orientation val="minMax"/>
        </c:scaling>
        <c:delete val="1"/>
        <c:axPos val="b"/>
        <c:numFmt formatCode="General" sourceLinked="1"/>
        <c:majorTickMark val="out"/>
        <c:minorTickMark val="none"/>
        <c:tickLblPos val="nextTo"/>
        <c:crossAx val="467115632"/>
        <c:crosses val="autoZero"/>
        <c:auto val="1"/>
        <c:lblAlgn val="ctr"/>
        <c:lblOffset val="100"/>
        <c:noMultiLvlLbl val="0"/>
      </c:catAx>
      <c:spPr>
        <a:noFill/>
        <a:ln>
          <a:noFill/>
        </a:ln>
        <a:effectLst/>
      </c:spPr>
    </c:plotArea>
    <c:legend>
      <c:legendPos val="b"/>
      <c:layout>
        <c:manualLayout>
          <c:xMode val="edge"/>
          <c:yMode val="edge"/>
          <c:x val="0.12637874173543942"/>
          <c:y val="3.9065423379929104E-2"/>
          <c:w val="0.74679477565304342"/>
          <c:h val="8.0113122120309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14</xdr:col>
      <xdr:colOff>22861</xdr:colOff>
      <xdr:row>17</xdr:row>
      <xdr:rowOff>99060</xdr:rowOff>
    </xdr:from>
    <xdr:to>
      <xdr:col>18</xdr:col>
      <xdr:colOff>175261</xdr:colOff>
      <xdr:row>21</xdr:row>
      <xdr:rowOff>179494</xdr:rowOff>
    </xdr:to>
    <xdr:sp macro="" textlink="">
      <xdr:nvSpPr>
        <xdr:cNvPr id="2" name="Text Box 4"/>
        <xdr:cNvSpPr txBox="1">
          <a:spLocks noChangeArrowheads="1"/>
        </xdr:cNvSpPr>
      </xdr:nvSpPr>
      <xdr:spPr bwMode="auto">
        <a:xfrm>
          <a:off x="9029701" y="3375660"/>
          <a:ext cx="3238500" cy="811954"/>
        </a:xfrm>
        <a:prstGeom prst="rect">
          <a:avLst/>
        </a:prstGeom>
        <a:noFill/>
        <a:ln w="9525">
          <a:noFill/>
          <a:miter lim="800000"/>
          <a:headEnd/>
          <a:tailEnd/>
        </a:ln>
      </xdr:spPr>
      <xdr:txBody>
        <a:bodyPr wrap="square">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r>
            <a:rPr lang="de-DE" sz="1200">
              <a:latin typeface="Arial" charset="0"/>
              <a:ea typeface="ＭＳ Ｐゴシック" pitchFamily="34" charset="-128"/>
            </a:rPr>
            <a:t>        1                 1</a:t>
          </a:r>
        </a:p>
        <a:p>
          <a:r>
            <a:rPr lang="de-DE" sz="1200">
              <a:latin typeface="Arial" charset="0"/>
              <a:ea typeface="ＭＳ Ｐゴシック" pitchFamily="34" charset="-128"/>
            </a:rPr>
            <a:t>U =  </a:t>
          </a:r>
          <a:r>
            <a:rPr lang="de-DE" sz="1200">
              <a:latin typeface="Arial" charset="0"/>
              <a:ea typeface="ＭＳ Ｐゴシック" pitchFamily="34" charset="-128"/>
              <a:cs typeface="Arial" charset="0"/>
            </a:rPr>
            <a:t>—</a:t>
          </a:r>
          <a:r>
            <a:rPr lang="de-DE" sz="1200">
              <a:latin typeface="Arial" charset="0"/>
              <a:ea typeface="ＭＳ Ｐゴシック" pitchFamily="34" charset="-128"/>
            </a:rPr>
            <a:t> = ———————</a:t>
          </a:r>
        </a:p>
        <a:p>
          <a:r>
            <a:rPr lang="de-DE" sz="1200">
              <a:latin typeface="Arial" charset="0"/>
              <a:ea typeface="ＭＳ Ｐゴシック" pitchFamily="34" charset="-128"/>
            </a:rPr>
            <a:t>        R</a:t>
          </a:r>
          <a:r>
            <a:rPr lang="de-DE" sz="1200" baseline="-25000">
              <a:latin typeface="Arial" charset="0"/>
              <a:ea typeface="ＭＳ Ｐゴシック" pitchFamily="34" charset="-128"/>
            </a:rPr>
            <a:t>T</a:t>
          </a:r>
          <a:r>
            <a:rPr lang="de-DE" sz="1200">
              <a:latin typeface="Arial" charset="0"/>
              <a:ea typeface="ＭＳ Ｐゴシック" pitchFamily="34" charset="-128"/>
            </a:rPr>
            <a:t>    R</a:t>
          </a:r>
          <a:r>
            <a:rPr lang="de-DE" sz="1200" baseline="-25000">
              <a:latin typeface="Arial" charset="0"/>
              <a:ea typeface="ＭＳ Ｐゴシック" pitchFamily="34" charset="-128"/>
            </a:rPr>
            <a:t>si </a:t>
          </a:r>
          <a:r>
            <a:rPr lang="de-DE" sz="1200">
              <a:latin typeface="Arial" charset="0"/>
              <a:ea typeface="ＭＳ Ｐゴシック" pitchFamily="34" charset="-128"/>
            </a:rPr>
            <a:t> + d</a:t>
          </a:r>
          <a:r>
            <a:rPr lang="de-DE" sz="1200" baseline="-25000">
              <a:latin typeface="Arial" charset="0"/>
              <a:ea typeface="ＭＳ Ｐゴシック" pitchFamily="34" charset="-128"/>
            </a:rPr>
            <a:t>1</a:t>
          </a:r>
          <a:r>
            <a:rPr lang="de-DE" sz="1200">
              <a:latin typeface="Arial" charset="0"/>
              <a:ea typeface="ＭＳ Ｐゴシック" pitchFamily="34" charset="-128"/>
            </a:rPr>
            <a:t>/</a:t>
          </a:r>
          <a:r>
            <a:rPr lang="de-DE" sz="1200">
              <a:latin typeface="Symbol" pitchFamily="18" charset="2"/>
              <a:ea typeface="ＭＳ Ｐゴシック" pitchFamily="34" charset="-128"/>
            </a:rPr>
            <a:t>l</a:t>
          </a:r>
          <a:r>
            <a:rPr lang="de-DE" sz="1200" baseline="-25000">
              <a:latin typeface="Arial" charset="0"/>
              <a:ea typeface="ＭＳ Ｐゴシック" pitchFamily="34" charset="-128"/>
            </a:rPr>
            <a:t>1 </a:t>
          </a:r>
          <a:r>
            <a:rPr lang="de-DE" sz="1200">
              <a:latin typeface="Arial" charset="0"/>
              <a:ea typeface="ＭＳ Ｐゴシック" pitchFamily="34" charset="-128"/>
            </a:rPr>
            <a:t> + R</a:t>
          </a:r>
          <a:r>
            <a:rPr lang="de-DE" sz="1200" baseline="-25000">
              <a:latin typeface="Arial" charset="0"/>
              <a:ea typeface="ＭＳ Ｐゴシック" pitchFamily="34" charset="-128"/>
            </a:rPr>
            <a:t>se</a:t>
          </a:r>
        </a:p>
        <a:p>
          <a:endParaRPr lang="de-DE" sz="1200" baseline="-25000">
            <a:latin typeface="Arial" charset="0"/>
            <a:ea typeface="ＭＳ Ｐゴシック" pitchFamily="34" charset="-128"/>
          </a:endParaRPr>
        </a:p>
      </xdr:txBody>
    </xdr:sp>
    <xdr:clientData/>
  </xdr:twoCellAnchor>
  <xdr:twoCellAnchor>
    <xdr:from>
      <xdr:col>8</xdr:col>
      <xdr:colOff>83821</xdr:colOff>
      <xdr:row>48</xdr:row>
      <xdr:rowOff>160020</xdr:rowOff>
    </xdr:from>
    <xdr:to>
      <xdr:col>12</xdr:col>
      <xdr:colOff>76201</xdr:colOff>
      <xdr:row>50</xdr:row>
      <xdr:rowOff>56009</xdr:rowOff>
    </xdr:to>
    <xdr:sp macro="" textlink="">
      <xdr:nvSpPr>
        <xdr:cNvPr id="3" name="Text Box 5"/>
        <xdr:cNvSpPr txBox="1">
          <a:spLocks noChangeArrowheads="1"/>
        </xdr:cNvSpPr>
      </xdr:nvSpPr>
      <xdr:spPr bwMode="auto">
        <a:xfrm>
          <a:off x="5257801" y="9265920"/>
          <a:ext cx="2346960" cy="269369"/>
        </a:xfrm>
        <a:prstGeom prst="rect">
          <a:avLst/>
        </a:prstGeom>
        <a:noFill/>
        <a:ln w="9525">
          <a:noFill/>
          <a:miter lim="800000"/>
          <a:headEnd/>
          <a:tailEnd/>
        </a:ln>
      </xdr:spPr>
      <xdr:txBody>
        <a:bodyPr wrap="square">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algn="ctr" eaLnBrk="0" hangingPunct="0"/>
          <a:r>
            <a:rPr lang="de-DE" sz="1200">
              <a:latin typeface="Arial" charset="0"/>
              <a:ea typeface="ＭＳ Ｐゴシック" pitchFamily="34" charset="-128"/>
            </a:rPr>
            <a:t>Q</a:t>
          </a:r>
          <a:r>
            <a:rPr lang="de-DE" sz="1200" baseline="-25000">
              <a:latin typeface="Arial" charset="0"/>
              <a:ea typeface="ＭＳ Ｐゴシック" pitchFamily="34" charset="-128"/>
            </a:rPr>
            <a:t>T</a:t>
          </a:r>
          <a:r>
            <a:rPr lang="de-DE" sz="1200">
              <a:latin typeface="Arial" charset="0"/>
              <a:ea typeface="ＭＳ Ｐゴシック" pitchFamily="34" charset="-128"/>
            </a:rPr>
            <a:t> = A * U </a:t>
          </a:r>
          <a:r>
            <a:rPr lang="de-DE" sz="1200">
              <a:latin typeface="Arial" charset="0"/>
              <a:ea typeface="ＭＳ Ｐゴシック" pitchFamily="34" charset="-128"/>
              <a:sym typeface="Symbol" pitchFamily="18" charset="2"/>
            </a:rPr>
            <a:t>* b</a:t>
          </a:r>
          <a:r>
            <a:rPr lang="de-DE" sz="1200" baseline="-25000">
              <a:latin typeface="Arial" charset="0"/>
              <a:ea typeface="ＭＳ Ｐゴシック" pitchFamily="34" charset="-128"/>
              <a:sym typeface="Symbol" pitchFamily="18" charset="2"/>
            </a:rPr>
            <a:t>t </a:t>
          </a:r>
          <a:r>
            <a:rPr lang="de-DE" sz="1200">
              <a:latin typeface="Arial" charset="0"/>
              <a:ea typeface="ＭＳ Ｐゴシック" pitchFamily="34" charset="-128"/>
            </a:rPr>
            <a:t>* </a:t>
          </a:r>
          <a:r>
            <a:rPr lang="de-DE" sz="1200">
              <a:latin typeface="Arial" charset="0"/>
              <a:ea typeface="ＭＳ Ｐゴシック" pitchFamily="34" charset="-128"/>
              <a:sym typeface="Symbol" pitchFamily="18" charset="2"/>
            </a:rPr>
            <a:t>G</a:t>
          </a:r>
          <a:r>
            <a:rPr lang="de-DE" sz="1200" baseline="-25000">
              <a:latin typeface="Arial" charset="0"/>
              <a:ea typeface="ＭＳ Ｐゴシック" pitchFamily="34" charset="-128"/>
              <a:sym typeface="Symbol" pitchFamily="18" charset="2"/>
            </a:rPr>
            <a:t>t</a:t>
          </a:r>
        </a:p>
      </xdr:txBody>
    </xdr:sp>
    <xdr:clientData/>
  </xdr:twoCellAnchor>
  <xdr:twoCellAnchor>
    <xdr:from>
      <xdr:col>7</xdr:col>
      <xdr:colOff>19050</xdr:colOff>
      <xdr:row>71</xdr:row>
      <xdr:rowOff>145134</xdr:rowOff>
    </xdr:from>
    <xdr:to>
      <xdr:col>10</xdr:col>
      <xdr:colOff>142875</xdr:colOff>
      <xdr:row>73</xdr:row>
      <xdr:rowOff>158750</xdr:rowOff>
    </xdr:to>
    <xdr:grpSp>
      <xdr:nvGrpSpPr>
        <xdr:cNvPr id="4" name="Group 5"/>
        <xdr:cNvGrpSpPr>
          <a:grpSpLocks noChangeAspect="1"/>
        </xdr:cNvGrpSpPr>
      </xdr:nvGrpSpPr>
      <xdr:grpSpPr bwMode="auto">
        <a:xfrm>
          <a:off x="4286250" y="14204034"/>
          <a:ext cx="2228850" cy="394616"/>
          <a:chOff x="1067" y="3751"/>
          <a:chExt cx="1844" cy="358"/>
        </a:xfrm>
      </xdr:grpSpPr>
      <xdr:sp macro="" textlink="">
        <xdr:nvSpPr>
          <xdr:cNvPr id="5" name="AutoShape 4"/>
          <xdr:cNvSpPr>
            <a:spLocks noChangeAspect="1" noChangeArrowheads="1" noTextEdit="1"/>
          </xdr:cNvSpPr>
        </xdr:nvSpPr>
        <xdr:spPr bwMode="auto">
          <a:xfrm>
            <a:off x="1067" y="3753"/>
            <a:ext cx="1844" cy="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endParaRPr lang="de-DE"/>
          </a:p>
        </xdr:txBody>
      </xdr:sp>
      <xdr:sp macro="" textlink="">
        <xdr:nvSpPr>
          <xdr:cNvPr id="6" name="Rectangle 7"/>
          <xdr:cNvSpPr>
            <a:spLocks noChangeArrowheads="1"/>
          </xdr:cNvSpPr>
        </xdr:nvSpPr>
        <xdr:spPr bwMode="auto">
          <a:xfrm>
            <a:off x="2284" y="3922"/>
            <a:ext cx="115" cy="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1700" b="0" i="1" u="none" strike="noStrike" cap="none" normalizeH="0" baseline="0">
                <a:ln>
                  <a:noFill/>
                </a:ln>
                <a:solidFill>
                  <a:srgbClr val="000000"/>
                </a:solidFill>
                <a:effectLst/>
                <a:latin typeface="Times New Roman" panose="02020603050405020304" pitchFamily="18" charset="0"/>
              </a:rPr>
              <a:t>e</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7" name="Rectangle 8"/>
          <xdr:cNvSpPr>
            <a:spLocks noChangeArrowheads="1"/>
          </xdr:cNvSpPr>
        </xdr:nvSpPr>
        <xdr:spPr bwMode="auto">
          <a:xfrm>
            <a:off x="1808" y="3922"/>
            <a:ext cx="92" cy="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1700" b="0" i="1" u="none" strike="noStrike" cap="none" normalizeH="0" baseline="0">
                <a:ln>
                  <a:noFill/>
                </a:ln>
                <a:solidFill>
                  <a:srgbClr val="000000"/>
                </a:solidFill>
                <a:effectLst/>
                <a:latin typeface="Times New Roman" panose="02020603050405020304" pitchFamily="18" charset="0"/>
              </a:rPr>
              <a:t>i</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8" name="Rectangle 10"/>
          <xdr:cNvSpPr>
            <a:spLocks noChangeArrowheads="1"/>
          </xdr:cNvSpPr>
        </xdr:nvSpPr>
        <xdr:spPr bwMode="auto">
          <a:xfrm>
            <a:off x="2110" y="3778"/>
            <a:ext cx="248" cy="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K</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9" name="Rectangle 11"/>
          <xdr:cNvSpPr>
            <a:spLocks noChangeArrowheads="1"/>
          </xdr:cNvSpPr>
        </xdr:nvSpPr>
        <xdr:spPr bwMode="auto">
          <a:xfrm>
            <a:off x="1636" y="3778"/>
            <a:ext cx="248" cy="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K</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10" name="Rectangle 12"/>
          <xdr:cNvSpPr>
            <a:spLocks noChangeArrowheads="1"/>
          </xdr:cNvSpPr>
        </xdr:nvSpPr>
        <xdr:spPr bwMode="auto">
          <a:xfrm>
            <a:off x="1109" y="3778"/>
            <a:ext cx="248" cy="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K</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11" name="Rectangle 14"/>
          <xdr:cNvSpPr>
            <a:spLocks noChangeArrowheads="1"/>
          </xdr:cNvSpPr>
        </xdr:nvSpPr>
        <xdr:spPr bwMode="auto">
          <a:xfrm>
            <a:off x="1926" y="3751"/>
            <a:ext cx="266" cy="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0" u="none" strike="noStrike" cap="none" normalizeH="0" baseline="0">
                <a:ln>
                  <a:noFill/>
                </a:ln>
                <a:solidFill>
                  <a:srgbClr val="000000"/>
                </a:solidFill>
                <a:effectLst/>
                <a:latin typeface="Symbol" panose="05050102010706020507" pitchFamily="18" charset="2"/>
              </a:rPr>
              <a:t>+</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12" name="Rectangle 15"/>
          <xdr:cNvSpPr>
            <a:spLocks noChangeArrowheads="1"/>
          </xdr:cNvSpPr>
        </xdr:nvSpPr>
        <xdr:spPr bwMode="auto">
          <a:xfrm>
            <a:off x="1441" y="3751"/>
            <a:ext cx="266" cy="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0" u="none" strike="noStrike" cap="none" normalizeH="0" baseline="0">
                <a:ln>
                  <a:noFill/>
                </a:ln>
                <a:solidFill>
                  <a:srgbClr val="000000"/>
                </a:solidFill>
                <a:effectLst/>
                <a:latin typeface="Symbol" panose="05050102010706020507" pitchFamily="18" charset="2"/>
              </a:rPr>
              <a:t>=</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13" name="Rectangle 16"/>
          <xdr:cNvSpPr>
            <a:spLocks noChangeArrowheads="1"/>
          </xdr:cNvSpPr>
        </xdr:nvSpPr>
        <xdr:spPr bwMode="auto">
          <a:xfrm>
            <a:off x="1283" y="3922"/>
            <a:ext cx="123" cy="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1700" b="0" i="0" u="none" strike="noStrike" cap="none" normalizeH="0" baseline="0">
                <a:ln>
                  <a:noFill/>
                </a:ln>
                <a:solidFill>
                  <a:srgbClr val="000000"/>
                </a:solidFill>
                <a:effectLst/>
                <a:latin typeface="Times New Roman" panose="02020603050405020304" pitchFamily="18" charset="0"/>
              </a:rPr>
              <a:t>0</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grpSp>
    <xdr:clientData/>
  </xdr:twoCellAnchor>
  <xdr:twoCellAnchor editAs="oneCell">
    <xdr:from>
      <xdr:col>7</xdr:col>
      <xdr:colOff>95250</xdr:colOff>
      <xdr:row>61</xdr:row>
      <xdr:rowOff>171450</xdr:rowOff>
    </xdr:from>
    <xdr:to>
      <xdr:col>10</xdr:col>
      <xdr:colOff>85725</xdr:colOff>
      <xdr:row>65</xdr:row>
      <xdr:rowOff>47625</xdr:rowOff>
    </xdr:to>
    <xdr:sp macro="" textlink="">
      <xdr:nvSpPr>
        <xdr:cNvPr id="1025" name="Object 1" hidden="1">
          <a:extLst>
            <a:ext uri="{63B3BB69-23CF-44E3-9099-C40C66FF867C}">
              <a14:compatExt xmlns:a14="http://schemas.microsoft.com/office/drawing/2010/main" spid="_x0000_s1025"/>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123825</xdr:colOff>
      <xdr:row>66</xdr:row>
      <xdr:rowOff>0</xdr:rowOff>
    </xdr:from>
    <xdr:to>
      <xdr:col>10</xdr:col>
      <xdr:colOff>643321</xdr:colOff>
      <xdr:row>68</xdr:row>
      <xdr:rowOff>114300</xdr:rowOff>
    </xdr:to>
    <xdr:grpSp>
      <xdr:nvGrpSpPr>
        <xdr:cNvPr id="15" name="Group 5"/>
        <xdr:cNvGrpSpPr>
          <a:grpSpLocks noChangeAspect="1"/>
        </xdr:cNvGrpSpPr>
      </xdr:nvGrpSpPr>
      <xdr:grpSpPr bwMode="auto">
        <a:xfrm>
          <a:off x="4391025" y="13030200"/>
          <a:ext cx="2624521" cy="533400"/>
          <a:chOff x="1067" y="3751"/>
          <a:chExt cx="1844" cy="348"/>
        </a:xfrm>
      </xdr:grpSpPr>
      <xdr:sp macro="" textlink="">
        <xdr:nvSpPr>
          <xdr:cNvPr id="16" name="AutoShape 4"/>
          <xdr:cNvSpPr>
            <a:spLocks noChangeAspect="1" noChangeArrowheads="1" noTextEdit="1"/>
          </xdr:cNvSpPr>
        </xdr:nvSpPr>
        <xdr:spPr bwMode="auto">
          <a:xfrm>
            <a:off x="1067" y="3753"/>
            <a:ext cx="1844" cy="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endParaRPr lang="de-DE"/>
          </a:p>
        </xdr:txBody>
      </xdr:sp>
      <xdr:sp macro="" textlink="">
        <xdr:nvSpPr>
          <xdr:cNvPr id="17" name="Rectangle 8"/>
          <xdr:cNvSpPr>
            <a:spLocks noChangeArrowheads="1"/>
          </xdr:cNvSpPr>
        </xdr:nvSpPr>
        <xdr:spPr bwMode="auto">
          <a:xfrm>
            <a:off x="1808" y="3922"/>
            <a:ext cx="84" cy="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lang="de-DE" altLang="de-DE" sz="1700" i="1">
                <a:solidFill>
                  <a:srgbClr val="000000"/>
                </a:solidFill>
                <a:latin typeface="Times New Roman" panose="02020603050405020304" pitchFamily="18" charset="0"/>
              </a:rPr>
              <a:t>B</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18" name="Rectangle 10"/>
          <xdr:cNvSpPr>
            <a:spLocks noChangeArrowheads="1"/>
          </xdr:cNvSpPr>
        </xdr:nvSpPr>
        <xdr:spPr bwMode="auto">
          <a:xfrm>
            <a:off x="2110" y="3778"/>
            <a:ext cx="143" cy="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E</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19" name="Rectangle 11"/>
          <xdr:cNvSpPr>
            <a:spLocks noChangeArrowheads="1"/>
          </xdr:cNvSpPr>
        </xdr:nvSpPr>
        <xdr:spPr bwMode="auto">
          <a:xfrm>
            <a:off x="1636" y="3778"/>
            <a:ext cx="143" cy="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B</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20" name="Rectangle 12"/>
          <xdr:cNvSpPr>
            <a:spLocks noChangeArrowheads="1"/>
          </xdr:cNvSpPr>
        </xdr:nvSpPr>
        <xdr:spPr bwMode="auto">
          <a:xfrm>
            <a:off x="1109" y="3778"/>
            <a:ext cx="248" cy="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K</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21" name="Rectangle 14"/>
          <xdr:cNvSpPr>
            <a:spLocks noChangeArrowheads="1"/>
          </xdr:cNvSpPr>
        </xdr:nvSpPr>
        <xdr:spPr bwMode="auto">
          <a:xfrm>
            <a:off x="1926" y="3751"/>
            <a:ext cx="117" cy="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lang="de-DE" altLang="de-DE" sz="2900">
                <a:solidFill>
                  <a:srgbClr val="000000"/>
                </a:solidFill>
                <a:latin typeface="Symbol" panose="05050102010706020507" pitchFamily="18" charset="2"/>
              </a:rPr>
              <a:t>*</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22" name="Rectangle 15"/>
          <xdr:cNvSpPr>
            <a:spLocks noChangeArrowheads="1"/>
          </xdr:cNvSpPr>
        </xdr:nvSpPr>
        <xdr:spPr bwMode="auto">
          <a:xfrm>
            <a:off x="1441" y="3751"/>
            <a:ext cx="266" cy="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0" u="none" strike="noStrike" cap="none" normalizeH="0" baseline="0">
                <a:ln>
                  <a:noFill/>
                </a:ln>
                <a:solidFill>
                  <a:srgbClr val="000000"/>
                </a:solidFill>
                <a:effectLst/>
                <a:latin typeface="Symbol" panose="05050102010706020507" pitchFamily="18" charset="2"/>
              </a:rPr>
              <a:t>=</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23" name="Rectangle 16"/>
          <xdr:cNvSpPr>
            <a:spLocks noChangeArrowheads="1"/>
          </xdr:cNvSpPr>
        </xdr:nvSpPr>
        <xdr:spPr bwMode="auto">
          <a:xfrm>
            <a:off x="1283" y="3922"/>
            <a:ext cx="84" cy="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1700" b="0" i="0" u="none" strike="noStrike" cap="none" normalizeH="0" baseline="0">
                <a:ln>
                  <a:noFill/>
                </a:ln>
                <a:solidFill>
                  <a:srgbClr val="000000"/>
                </a:solidFill>
                <a:effectLst/>
                <a:latin typeface="Times New Roman" panose="02020603050405020304" pitchFamily="18" charset="0"/>
              </a:rPr>
              <a:t>E</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grpSp>
    <xdr:clientData/>
  </xdr:twoCellAnchor>
  <xdr:twoCellAnchor>
    <xdr:from>
      <xdr:col>7</xdr:col>
      <xdr:colOff>0</xdr:colOff>
      <xdr:row>69</xdr:row>
      <xdr:rowOff>0</xdr:rowOff>
    </xdr:from>
    <xdr:to>
      <xdr:col>10</xdr:col>
      <xdr:colOff>519496</xdr:colOff>
      <xdr:row>71</xdr:row>
      <xdr:rowOff>114300</xdr:rowOff>
    </xdr:to>
    <xdr:grpSp>
      <xdr:nvGrpSpPr>
        <xdr:cNvPr id="24" name="Group 5"/>
        <xdr:cNvGrpSpPr>
          <a:grpSpLocks noChangeAspect="1"/>
        </xdr:cNvGrpSpPr>
      </xdr:nvGrpSpPr>
      <xdr:grpSpPr bwMode="auto">
        <a:xfrm>
          <a:off x="4267200" y="13677900"/>
          <a:ext cx="2624521" cy="495300"/>
          <a:chOff x="1067" y="3751"/>
          <a:chExt cx="1844" cy="348"/>
        </a:xfrm>
      </xdr:grpSpPr>
      <xdr:sp macro="" textlink="">
        <xdr:nvSpPr>
          <xdr:cNvPr id="25" name="AutoShape 4"/>
          <xdr:cNvSpPr>
            <a:spLocks noChangeAspect="1" noChangeArrowheads="1" noTextEdit="1"/>
          </xdr:cNvSpPr>
        </xdr:nvSpPr>
        <xdr:spPr bwMode="auto">
          <a:xfrm>
            <a:off x="1067" y="3753"/>
            <a:ext cx="1844" cy="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endParaRPr lang="de-DE"/>
          </a:p>
        </xdr:txBody>
      </xdr:sp>
      <xdr:sp macro="" textlink="">
        <xdr:nvSpPr>
          <xdr:cNvPr id="26" name="Rectangle 8"/>
          <xdr:cNvSpPr>
            <a:spLocks noChangeArrowheads="1"/>
          </xdr:cNvSpPr>
        </xdr:nvSpPr>
        <xdr:spPr bwMode="auto">
          <a:xfrm>
            <a:off x="1808" y="3922"/>
            <a:ext cx="84" cy="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lang="de-DE" altLang="de-DE" sz="1700" i="1">
                <a:solidFill>
                  <a:srgbClr val="000000"/>
                </a:solidFill>
                <a:latin typeface="Times New Roman" panose="02020603050405020304" pitchFamily="18" charset="0"/>
              </a:rPr>
              <a:t>W</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27" name="Rectangle 10"/>
          <xdr:cNvSpPr>
            <a:spLocks noChangeArrowheads="1"/>
          </xdr:cNvSpPr>
        </xdr:nvSpPr>
        <xdr:spPr bwMode="auto">
          <a:xfrm>
            <a:off x="2110" y="3778"/>
            <a:ext cx="342" cy="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G</a:t>
            </a:r>
            <a:r>
              <a:rPr kumimoji="0" lang="de-DE" altLang="de-DE" sz="2900" b="0" i="1" u="none" strike="noStrike" cap="none" normalizeH="0" baseline="-25000">
                <a:ln>
                  <a:noFill/>
                </a:ln>
                <a:solidFill>
                  <a:srgbClr val="000000"/>
                </a:solidFill>
                <a:effectLst/>
                <a:latin typeface="Times New Roman" panose="02020603050405020304" pitchFamily="18" charset="0"/>
              </a:rPr>
              <a:t>T</a:t>
            </a:r>
            <a:endParaRPr kumimoji="0" lang="de-DE" altLang="de-DE" sz="1800" b="0" i="0" u="none" strike="noStrike" cap="none" normalizeH="0" baseline="-25000">
              <a:ln>
                <a:noFill/>
              </a:ln>
              <a:solidFill>
                <a:schemeClr val="tx1"/>
              </a:solidFill>
              <a:effectLst/>
              <a:latin typeface="Arial" panose="020B0604020202020204" pitchFamily="34" charset="0"/>
            </a:endParaRPr>
          </a:p>
        </xdr:txBody>
      </xdr:sp>
      <xdr:sp macro="" textlink="">
        <xdr:nvSpPr>
          <xdr:cNvPr id="28" name="Rectangle 11"/>
          <xdr:cNvSpPr>
            <a:spLocks noChangeArrowheads="1"/>
          </xdr:cNvSpPr>
        </xdr:nvSpPr>
        <xdr:spPr bwMode="auto">
          <a:xfrm>
            <a:off x="1636" y="3778"/>
            <a:ext cx="143" cy="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P</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29" name="Rectangle 12"/>
          <xdr:cNvSpPr>
            <a:spLocks noChangeArrowheads="1"/>
          </xdr:cNvSpPr>
        </xdr:nvSpPr>
        <xdr:spPr bwMode="auto">
          <a:xfrm>
            <a:off x="1109" y="3778"/>
            <a:ext cx="248" cy="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E</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30" name="Rectangle 14"/>
          <xdr:cNvSpPr>
            <a:spLocks noChangeArrowheads="1"/>
          </xdr:cNvSpPr>
        </xdr:nvSpPr>
        <xdr:spPr bwMode="auto">
          <a:xfrm>
            <a:off x="1926" y="3751"/>
            <a:ext cx="117" cy="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lang="de-DE" altLang="de-DE" sz="2900">
                <a:solidFill>
                  <a:srgbClr val="000000"/>
                </a:solidFill>
                <a:latin typeface="Symbol" panose="05050102010706020507" pitchFamily="18" charset="2"/>
              </a:rPr>
              <a:t>*</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31" name="Rectangle 15"/>
          <xdr:cNvSpPr>
            <a:spLocks noChangeArrowheads="1"/>
          </xdr:cNvSpPr>
        </xdr:nvSpPr>
        <xdr:spPr bwMode="auto">
          <a:xfrm>
            <a:off x="1441" y="3751"/>
            <a:ext cx="266" cy="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0" u="none" strike="noStrike" cap="none" normalizeH="0" baseline="0">
                <a:ln>
                  <a:noFill/>
                </a:ln>
                <a:solidFill>
                  <a:srgbClr val="000000"/>
                </a:solidFill>
                <a:effectLst/>
                <a:latin typeface="Symbol" panose="05050102010706020507" pitchFamily="18" charset="2"/>
              </a:rPr>
              <a:t>=</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grpSp>
    <xdr:clientData/>
  </xdr:twoCellAnchor>
  <xdr:twoCellAnchor>
    <xdr:from>
      <xdr:col>10</xdr:col>
      <xdr:colOff>90433</xdr:colOff>
      <xdr:row>69</xdr:row>
      <xdr:rowOff>9853</xdr:rowOff>
    </xdr:from>
    <xdr:to>
      <xdr:col>10</xdr:col>
      <xdr:colOff>577193</xdr:colOff>
      <xdr:row>71</xdr:row>
      <xdr:rowOff>58682</xdr:rowOff>
    </xdr:to>
    <xdr:sp macro="" textlink="">
      <xdr:nvSpPr>
        <xdr:cNvPr id="33" name="Rectangle 10"/>
        <xdr:cNvSpPr>
          <a:spLocks noChangeArrowheads="1"/>
        </xdr:cNvSpPr>
      </xdr:nvSpPr>
      <xdr:spPr bwMode="auto">
        <a:xfrm>
          <a:off x="6462658" y="13649653"/>
          <a:ext cx="486760" cy="429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U</a:t>
          </a:r>
          <a:endParaRPr kumimoji="0" lang="de-DE" altLang="de-DE" sz="1800" b="0" i="0" u="none" strike="noStrike" cap="none" normalizeH="0" baseline="-25000">
            <a:ln>
              <a:noFill/>
            </a:ln>
            <a:solidFill>
              <a:schemeClr val="tx1"/>
            </a:solidFill>
            <a:effectLst/>
            <a:latin typeface="Arial" panose="020B0604020202020204" pitchFamily="34" charset="0"/>
          </a:endParaRPr>
        </a:p>
      </xdr:txBody>
    </xdr:sp>
    <xdr:clientData/>
  </xdr:twoCellAnchor>
  <xdr:twoCellAnchor>
    <xdr:from>
      <xdr:col>9</xdr:col>
      <xdr:colOff>1000125</xdr:colOff>
      <xdr:row>68</xdr:row>
      <xdr:rowOff>161925</xdr:rowOff>
    </xdr:from>
    <xdr:to>
      <xdr:col>9</xdr:col>
      <xdr:colOff>1166648</xdr:colOff>
      <xdr:row>70</xdr:row>
      <xdr:rowOff>180866</xdr:rowOff>
    </xdr:to>
    <xdr:sp macro="" textlink="">
      <xdr:nvSpPr>
        <xdr:cNvPr id="34" name="Rectangle 14"/>
        <xdr:cNvSpPr>
          <a:spLocks noChangeArrowheads="1"/>
        </xdr:cNvSpPr>
      </xdr:nvSpPr>
      <xdr:spPr bwMode="auto">
        <a:xfrm>
          <a:off x="6200775" y="13611225"/>
          <a:ext cx="166523" cy="399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lang="de-DE" altLang="de-DE" sz="2900">
              <a:solidFill>
                <a:srgbClr val="000000"/>
              </a:solidFill>
              <a:latin typeface="Symbol" panose="05050102010706020507" pitchFamily="18" charset="2"/>
            </a:rPr>
            <a:t>*</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clientData/>
  </xdr:twoCellAnchor>
  <xdr:twoCellAnchor>
    <xdr:from>
      <xdr:col>11</xdr:col>
      <xdr:colOff>19050</xdr:colOff>
      <xdr:row>75</xdr:row>
      <xdr:rowOff>23812</xdr:rowOff>
    </xdr:from>
    <xdr:to>
      <xdr:col>18</xdr:col>
      <xdr:colOff>609600</xdr:colOff>
      <xdr:row>89</xdr:row>
      <xdr:rowOff>180975</xdr:rowOff>
    </xdr:to>
    <xdr:graphicFrame macro="">
      <xdr:nvGraphicFramePr>
        <xdr:cNvPr id="14" name="Diagramm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95250</xdr:colOff>
      <xdr:row>61</xdr:row>
      <xdr:rowOff>171450</xdr:rowOff>
    </xdr:from>
    <xdr:to>
      <xdr:col>10</xdr:col>
      <xdr:colOff>85725</xdr:colOff>
      <xdr:row>65</xdr:row>
      <xdr:rowOff>47625</xdr:rowOff>
    </xdr:to>
    <xdr:pic>
      <xdr:nvPicPr>
        <xdr:cNvPr id="32"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62450" y="12201525"/>
          <a:ext cx="20955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3800475</xdr:colOff>
      <xdr:row>1</xdr:row>
      <xdr:rowOff>161925</xdr:rowOff>
    </xdr:from>
    <xdr:to>
      <xdr:col>8</xdr:col>
      <xdr:colOff>180975</xdr:colOff>
      <xdr:row>1</xdr:row>
      <xdr:rowOff>581025</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10625" y="361950"/>
          <a:ext cx="1885950" cy="419100"/>
        </a:xfrm>
        <a:prstGeom prst="rect">
          <a:avLst/>
        </a:prstGeom>
      </xdr:spPr>
    </xdr:pic>
    <xdr:clientData/>
  </xdr:twoCellAnchor>
  <xdr:twoCellAnchor>
    <xdr:from>
      <xdr:col>0</xdr:col>
      <xdr:colOff>238125</xdr:colOff>
      <xdr:row>42</xdr:row>
      <xdr:rowOff>83869</xdr:rowOff>
    </xdr:from>
    <xdr:to>
      <xdr:col>3</xdr:col>
      <xdr:colOff>184150</xdr:colOff>
      <xdr:row>43</xdr:row>
      <xdr:rowOff>480285</xdr:rowOff>
    </xdr:to>
    <xdr:pic>
      <xdr:nvPicPr>
        <xdr:cNvPr id="7" name="Picture 2" descr="P:\KB-Projekte\outPHit\WP 7 Dissemination\7.1. Visual Identity\EU Disclaimer\Co-funded-by-H2020-PNG\co-funded-h2020-horiz_en.png"/>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70321"/>
        <a:stretch/>
      </xdr:blipFill>
      <xdr:spPr bwMode="auto">
        <a:xfrm>
          <a:off x="238125" y="10866169"/>
          <a:ext cx="688975" cy="48214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390525</xdr:colOff>
      <xdr:row>3</xdr:row>
      <xdr:rowOff>142877</xdr:rowOff>
    </xdr:from>
    <xdr:to>
      <xdr:col>18</xdr:col>
      <xdr:colOff>28575</xdr:colOff>
      <xdr:row>18</xdr:row>
      <xdr:rowOff>85726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38100</xdr:colOff>
      <xdr:row>1</xdr:row>
      <xdr:rowOff>133350</xdr:rowOff>
    </xdr:from>
    <xdr:to>
      <xdr:col>18</xdr:col>
      <xdr:colOff>400050</xdr:colOff>
      <xdr:row>1</xdr:row>
      <xdr:rowOff>552450</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34350" y="333375"/>
          <a:ext cx="1885950" cy="419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138394</xdr:colOff>
      <xdr:row>0</xdr:row>
      <xdr:rowOff>177052</xdr:rowOff>
    </xdr:from>
    <xdr:to>
      <xdr:col>71</xdr:col>
      <xdr:colOff>194983</xdr:colOff>
      <xdr:row>26</xdr:row>
      <xdr:rowOff>23530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542925</xdr:colOff>
      <xdr:row>1</xdr:row>
      <xdr:rowOff>133350</xdr:rowOff>
    </xdr:from>
    <xdr:to>
      <xdr:col>18</xdr:col>
      <xdr:colOff>1190625</xdr:colOff>
      <xdr:row>1</xdr:row>
      <xdr:rowOff>552450</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96450" y="333375"/>
          <a:ext cx="1885950" cy="419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36</xdr:col>
      <xdr:colOff>117661</xdr:colOff>
      <xdr:row>3</xdr:row>
      <xdr:rowOff>206749</xdr:rowOff>
    </xdr:from>
    <xdr:to>
      <xdr:col>42</xdr:col>
      <xdr:colOff>298636</xdr:colOff>
      <xdr:row>42</xdr:row>
      <xdr:rowOff>56030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134470</xdr:colOff>
      <xdr:row>43</xdr:row>
      <xdr:rowOff>168089</xdr:rowOff>
    </xdr:from>
    <xdr:to>
      <xdr:col>42</xdr:col>
      <xdr:colOff>315445</xdr:colOff>
      <xdr:row>289</xdr:row>
      <xdr:rowOff>22413</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342900</xdr:colOff>
      <xdr:row>1</xdr:row>
      <xdr:rowOff>114300</xdr:rowOff>
    </xdr:from>
    <xdr:to>
      <xdr:col>20</xdr:col>
      <xdr:colOff>704850</xdr:colOff>
      <xdr:row>1</xdr:row>
      <xdr:rowOff>533400</xdr:rowOff>
    </xdr:to>
    <xdr:pic>
      <xdr:nvPicPr>
        <xdr:cNvPr id="4" name="Grafik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173450" y="314325"/>
          <a:ext cx="1885950" cy="419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2276475</xdr:colOff>
      <xdr:row>1</xdr:row>
      <xdr:rowOff>142875</xdr:rowOff>
    </xdr:from>
    <xdr:to>
      <xdr:col>9</xdr:col>
      <xdr:colOff>4162425</xdr:colOff>
      <xdr:row>1</xdr:row>
      <xdr:rowOff>561975</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44375" y="314325"/>
          <a:ext cx="1885950" cy="419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400050</xdr:colOff>
      <xdr:row>1</xdr:row>
      <xdr:rowOff>142875</xdr:rowOff>
    </xdr:from>
    <xdr:to>
      <xdr:col>18</xdr:col>
      <xdr:colOff>0</xdr:colOff>
      <xdr:row>1</xdr:row>
      <xdr:rowOff>561975</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30100" y="342900"/>
          <a:ext cx="1885950" cy="419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hi-home\ordnerumleitung\bkrick\Desktop\PHPP_V9.6a_EN_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ification"/>
      <sheetName val="Übersicht"/>
      <sheetName val="Check"/>
      <sheetName val="Variants"/>
      <sheetName val="PHeco"/>
      <sheetName val="Comparison"/>
      <sheetName val="Climate"/>
      <sheetName val="U-Values"/>
      <sheetName val="Areas"/>
      <sheetName val="Ground"/>
      <sheetName val="Components"/>
      <sheetName val="Windows"/>
      <sheetName val="Shading"/>
      <sheetName val="Ventilation"/>
      <sheetName val="Additional Vent"/>
      <sheetName val="Annual heating"/>
      <sheetName val="Heating"/>
      <sheetName val="Heating Load"/>
      <sheetName val="SummVent"/>
      <sheetName val="Summer"/>
      <sheetName val="Cooling"/>
      <sheetName val="Cooling units"/>
      <sheetName val="Cooling load"/>
      <sheetName val="DHW+Distribution"/>
      <sheetName val="SolarDHW"/>
      <sheetName val="PV"/>
      <sheetName val="Electricity"/>
      <sheetName val="Use non-res"/>
      <sheetName val="Electricity non-res"/>
      <sheetName val="Aux Electricity"/>
      <sheetName val="IHG"/>
      <sheetName val="IHG non-res"/>
      <sheetName val="PER"/>
      <sheetName val="Compact"/>
      <sheetName val="HP"/>
      <sheetName val="HP Ground"/>
      <sheetName val="Boiler"/>
      <sheetName val="District heating"/>
      <sheetName val="Data"/>
    </sheetNames>
    <sheetDataSet>
      <sheetData sheetId="0"/>
      <sheetData sheetId="1"/>
      <sheetData sheetId="2"/>
      <sheetData sheetId="3"/>
      <sheetData sheetId="4"/>
      <sheetData sheetId="5"/>
      <sheetData sheetId="6"/>
      <sheetData sheetId="7"/>
      <sheetData sheetId="8"/>
      <sheetData sheetId="9"/>
      <sheetData sheetId="10"/>
      <sheetData sheetId="11">
        <row r="15">
          <cell r="MV15" t="str">
            <v>01ud-Triple-low-e Kr08</v>
          </cell>
        </row>
        <row r="16">
          <cell r="MV16" t="str">
            <v>02ud-Triple-low-e Kr12</v>
          </cell>
        </row>
        <row r="17">
          <cell r="MV17" t="str">
            <v>92ud-Single glazing</v>
          </cell>
        </row>
        <row r="18">
          <cell r="MV18" t="str">
            <v>93ud-Double  glazing 4/12mm air /4</v>
          </cell>
        </row>
        <row r="19">
          <cell r="MV19" t="str">
            <v>94ud-Double  glazing 4/16mm air /4</v>
          </cell>
        </row>
        <row r="20">
          <cell r="MV20" t="str">
            <v>95ud-Double  glazing 4/20mm air /4</v>
          </cell>
        </row>
        <row r="21">
          <cell r="MV21" t="str">
            <v>96ud-Double  glazing 4/25mm air /4</v>
          </cell>
        </row>
        <row r="22">
          <cell r="MV22" t="str">
            <v>97ud-Double  glazing 4/30mm air /4</v>
          </cell>
        </row>
        <row r="23">
          <cell r="MV23" t="str">
            <v>98ud-Triple  glazing 4/10air/4/10air/4</v>
          </cell>
        </row>
        <row r="24">
          <cell r="MV24" t="str">
            <v>99ud-Double low-E glazing  4/16Argon90%/4 Epsilon=0.1</v>
          </cell>
        </row>
        <row r="25">
          <cell r="MV25" t="str">
            <v xml:space="preserve">0665gl03-AGC - iplus Advanced 1.0 (4:/10/4/10/:4 Kr 90%) </v>
          </cell>
        </row>
        <row r="26">
          <cell r="MV26" t="str">
            <v xml:space="preserve">0666gl03-AGC - iplus Advanced 1.0 (4:/12/4/12/:4 Kr 90%) </v>
          </cell>
        </row>
        <row r="27">
          <cell r="MV27" t="str">
            <v xml:space="preserve">0667gl03-AGC - iplus Advanced 1.0 (4:/14/4/14/:4 Ar 90%) </v>
          </cell>
        </row>
        <row r="28">
          <cell r="MV28" t="str">
            <v xml:space="preserve">0668gl03-AGC - iplus Advanced 1.0 (4:/15/4/15/:4 Ar 90%) </v>
          </cell>
        </row>
        <row r="29">
          <cell r="MV29" t="str">
            <v xml:space="preserve">0669gl03-AGC - iplus Advanced 1.0 (4:/16/4/16/:4 Ar 90%) </v>
          </cell>
        </row>
        <row r="30">
          <cell r="MV30" t="str">
            <v xml:space="preserve">0670gl03-AGC - iplus Top 1.1 (4:/10/4/10/:4 Kr 90%) </v>
          </cell>
        </row>
        <row r="31">
          <cell r="MV31" t="str">
            <v xml:space="preserve">0671gl03-AGC - iplus Top 1.1 (4:/12/4/12/:4 Kr 90%) </v>
          </cell>
        </row>
        <row r="32">
          <cell r="MV32" t="str">
            <v xml:space="preserve">0672gl03-AGC - iplus Top 1.1 (4:/14/4/14/:4 Ar 90%) </v>
          </cell>
        </row>
        <row r="33">
          <cell r="MV33" t="str">
            <v xml:space="preserve">0673gl03-AGC - iplus Top 1.1 (4:/15/4/15/:4 Ar 90%) </v>
          </cell>
        </row>
        <row r="34">
          <cell r="MV34" t="str">
            <v xml:space="preserve">0674gl03-AGC - iplus Top 1.1 (4:/16/4/16/:4 Ar 90%) </v>
          </cell>
        </row>
        <row r="35">
          <cell r="MV35" t="str">
            <v xml:space="preserve">0675gl03-AGC - iplus Top 1.1T (4:/10/4/10/:4 Kr 90%) </v>
          </cell>
        </row>
        <row r="36">
          <cell r="MV36" t="str">
            <v xml:space="preserve">0676gl03-AGC - iplus Top 1.1T (4:/12/4/12/:4 Kr 90%) </v>
          </cell>
        </row>
        <row r="37">
          <cell r="MV37" t="str">
            <v xml:space="preserve">0677gl03-AGC - iplus Top 1.1T (4:/14/4/14/:4 Ar 90%) </v>
          </cell>
        </row>
        <row r="38">
          <cell r="MV38" t="str">
            <v xml:space="preserve">0678gl03-AGC - iplus Top 1.1T (4:/15/4/15/:4 Ar 90%) </v>
          </cell>
        </row>
        <row r="39">
          <cell r="MV39" t="str">
            <v xml:space="preserve">0679gl03-AGC - iplus Top 1.1T (4:/16/4/16/:4 Ar 90%) </v>
          </cell>
        </row>
        <row r="40">
          <cell r="MV40" t="str">
            <v xml:space="preserve">0412gl03-Guardian - ClimaGuard nrG (4:/12/4/12/:4 Kr 90%) </v>
          </cell>
        </row>
        <row r="41">
          <cell r="MV41" t="str">
            <v xml:space="preserve">0411gl03-Guardian - ClimaGuard nrG (4:/14/4/14/:4 Ar 90%) </v>
          </cell>
        </row>
        <row r="42">
          <cell r="MV42" t="str">
            <v xml:space="preserve">0410gl03-Guardian - ClimaGuard nrG (4:/16/4/16/:4 Ar 90%) </v>
          </cell>
        </row>
        <row r="43">
          <cell r="MV43" t="str">
            <v xml:space="preserve">0409gl03-Guardian - ClimaGuard nrG (4:/18/4/18/:4 Ar 90%) </v>
          </cell>
        </row>
        <row r="44">
          <cell r="MV44" t="str">
            <v xml:space="preserve">0628gl03-Guardian - ClimaGuard Premium2 (4:/12/4/12/:4 Kr 90%) </v>
          </cell>
        </row>
        <row r="45">
          <cell r="MV45" t="str">
            <v xml:space="preserve">0627gl03-Guardian - ClimaGuard Premium2 (4:/14/4/14/:4 Ar 90%) </v>
          </cell>
        </row>
        <row r="46">
          <cell r="MV46" t="str">
            <v xml:space="preserve">0625gl03-Guardian - ClimaGuard Premium2 (4:/16/4/16/:4 Ar 90%) </v>
          </cell>
        </row>
        <row r="47">
          <cell r="MV47" t="str">
            <v xml:space="preserve">0626gl03-Guardian - ClimaGuard Premium2 (4:/16/4/16/:4 Ar 90%) </v>
          </cell>
        </row>
        <row r="48">
          <cell r="MV48" t="str">
            <v xml:space="preserve">0418gl03-Interpane - iplus 3 CLS  und CLST (4/10/:4/10/:4 Kr 90%) </v>
          </cell>
        </row>
        <row r="49">
          <cell r="MV49" t="str">
            <v xml:space="preserve">0417gl03-Interpane - iplus 3 CLS  und CLST (4/12/:4/12/:4 Kr 90%) </v>
          </cell>
        </row>
        <row r="50">
          <cell r="MV50" t="str">
            <v xml:space="preserve">0423gl03-Interpane - iplus 3 LS und LST (4/14/:4/14/:4 Ar 90%) </v>
          </cell>
        </row>
        <row r="51">
          <cell r="MV51" t="str">
            <v xml:space="preserve">0422gl03-Interpane - iplus 3 LS und LST (4/16/:4/16/:4 Ar 90%) </v>
          </cell>
        </row>
        <row r="52">
          <cell r="MV52" t="str">
            <v xml:space="preserve">0425gl03-Interpane - iplus 3 LS und LST helles float (4/14/:4/14/:4 Ar 90%) </v>
          </cell>
        </row>
        <row r="53">
          <cell r="MV53" t="str">
            <v xml:space="preserve">0424gl03-Interpane - iplus 3 LS und LST helles float (4/16/:4/16/:4 Ar 90%) </v>
          </cell>
        </row>
        <row r="54">
          <cell r="MV54" t="str">
            <v xml:space="preserve">0438gl03-Saint-Gobain Glass Deutschland - SGG CLIMATOP LUX (4:/14/4/14/:4  Ar 90%) </v>
          </cell>
        </row>
        <row r="55">
          <cell r="MV55" t="str">
            <v xml:space="preserve">0439gl03-Saint-Gobain Glass Deutschland - SGG CLIMATOP LUX (4:/16/4/16/:4  Ar 90%) </v>
          </cell>
        </row>
        <row r="56">
          <cell r="MV56" t="str">
            <v xml:space="preserve">0440gl03-Saint-Gobain Glass Deutschland - SGG CLIMATOP LUX (4:/18/4/18/:4  Ar 90%) </v>
          </cell>
        </row>
        <row r="57">
          <cell r="MV57" t="str">
            <v xml:space="preserve">0441gl03-Saint-Gobain Glass Deutschland - SGG CLIMATOP LUX II (4:/14/4/14/:4  Ar 90%) </v>
          </cell>
        </row>
        <row r="58">
          <cell r="MV58" t="str">
            <v xml:space="preserve">0442gl03-Saint-Gobain Glass Deutschland - SGG CLIMATOP LUX II (4:/16/4/16/:4  Ar 90%) </v>
          </cell>
        </row>
        <row r="59">
          <cell r="MV59" t="str">
            <v xml:space="preserve">0443gl03-Saint-Gobain Glass Deutschland - SGG CLIMATOP LUX II (4:/18/4/18/:4  Ar 90%) </v>
          </cell>
        </row>
        <row r="60">
          <cell r="MV60" t="str">
            <v xml:space="preserve">0474gl03-Saint-Gobain Glass Deutschland - SGG PLANITHERM ULTRA N (4:/12/4/12/:4  Ar 90%) </v>
          </cell>
        </row>
        <row r="61">
          <cell r="MV61" t="str">
            <v xml:space="preserve">0475gl03-Saint-Gobain Glass Deutschland - SGG PLANITHERM ULTRA N (4:/14/4/14/:4  Ar 90%) </v>
          </cell>
        </row>
        <row r="62">
          <cell r="MV62" t="str">
            <v xml:space="preserve">0476gl03-Saint-Gobain Glass Deutschland - SGG PLANITHERM ULTRA N (4:/16/4/16/:4  Ar 90%) </v>
          </cell>
        </row>
        <row r="63">
          <cell r="MV63" t="str">
            <v xml:space="preserve">0477gl03-Saint-Gobain Glass Deutschland - SGG PLANITHERM ULTRA N (4:/18/4/18/:4  Ar 90%) </v>
          </cell>
        </row>
        <row r="64">
          <cell r="MV64" t="str">
            <v xml:space="preserve">0478gl03-Saint-Gobain Glass Deutschland - SGG PLANITHERM ULTRA N II (4:/12/4/12/:4  Ar 90%) </v>
          </cell>
        </row>
        <row r="65">
          <cell r="MV65" t="str">
            <v xml:space="preserve">0479gl03-Saint-Gobain Glass Deutschland - SGG PLANITHERM ULTRA N II (4:/14/4/14/:4  Ar 90%) </v>
          </cell>
        </row>
        <row r="66">
          <cell r="MV66" t="str">
            <v xml:space="preserve">0480gl03-Saint-Gobain Glass Deutschland - SGG PLANITHERM ULTRA N II (4:/16/4/16/:4  Ar 90%) </v>
          </cell>
        </row>
        <row r="67">
          <cell r="MV67" t="str">
            <v xml:space="preserve">0481gl03-Saint-Gobain Glass Deutschland - SGG PLANITHERM ULTRA N II (4:/18/4/18/:4  Ar 90%) </v>
          </cell>
        </row>
        <row r="68">
          <cell r="MV68" t="str">
            <v xml:space="preserve">0448gl03-UNIGLAS - TOP Premium 0.6 (4:/16/4/16/:4 Ar 90%) </v>
          </cell>
        </row>
        <row r="69">
          <cell r="MV69" t="str">
            <v xml:space="preserve">0449gl03-UNIGLAS - TOP Premium E 0.6 (4:/16/4/16/:4 Ar 90%) </v>
          </cell>
        </row>
        <row r="70">
          <cell r="MV70" t="str">
            <v xml:space="preserve">0450gl03-UNIGLAS - TOP Solar 0.7 (4:/16/4/16/:4 Ar 90%) </v>
          </cell>
        </row>
        <row r="71">
          <cell r="MV71" t="str">
            <v>0622ed03-Brunkhorst - Brunkhorst Passiv 98</v>
          </cell>
        </row>
        <row r="72">
          <cell r="MV72" t="str">
            <v>0620ed03-Brunkhorst - Brunkhorst Passiv 98 Portal</v>
          </cell>
        </row>
        <row r="73">
          <cell r="MV73" t="str">
            <v>0621ed03-Brunkhorst - Brunkhorst Passiv 98 Portal mit Verglasung</v>
          </cell>
        </row>
        <row r="74">
          <cell r="MV74" t="str">
            <v>0525ed03-Haustüren-Ring - Öko-Passiv Haustürenrohling 98 mm</v>
          </cell>
        </row>
        <row r="75">
          <cell r="MV75" t="str">
            <v>0927ed03-Hebei Orient Sundar Window Co.,Ltd. - Passive 78 super dpIII</v>
          </cell>
        </row>
        <row r="76">
          <cell r="MV76" t="str">
            <v>0129ed03-Holitsch - TARREDO PASSIVA-F</v>
          </cell>
        </row>
        <row r="77">
          <cell r="MV77" t="str">
            <v>0178ed03-Holitsch - TARREDO PASSIVA-F mit Verglasung</v>
          </cell>
        </row>
        <row r="78">
          <cell r="MV78" t="str">
            <v>0199ed03-IG-Sicherheit - IGS-Calor P</v>
          </cell>
        </row>
        <row r="79">
          <cell r="MV79" t="str">
            <v>0201ed03-IG-Sicherheit - IGS-Calor P – mit Verglasung</v>
          </cell>
        </row>
        <row r="80">
          <cell r="MV80" t="str">
            <v>0507ed03-Jeld-Wen - Type 12 Extern PHI und
Type 12 Extern FLB PHI</v>
          </cell>
        </row>
        <row r="81">
          <cell r="MV81" t="str">
            <v>0829ed03-Josko - NEVOS SET C8</v>
          </cell>
        </row>
        <row r="82">
          <cell r="MV82" t="str">
            <v>0140ed03-Kegro - KegaPro+</v>
          </cell>
        </row>
        <row r="83">
          <cell r="MV83" t="str">
            <v>0455ed03-KOWA - Edition Thermo 100</v>
          </cell>
        </row>
        <row r="84">
          <cell r="MV84" t="str">
            <v>0613ed03-Moralt - Moralt OutDoor FERRO Passiv (inkl. -Passiv Klima / -Passiv KlimaSoft / -FireSafe Passiv / -Akustik Passiv)</v>
          </cell>
        </row>
        <row r="85">
          <cell r="MV85" t="str">
            <v>0233ed03-Moralt - Moralt OutDoor FERRO Passiv Klima mit Verglasung</v>
          </cell>
        </row>
        <row r="86">
          <cell r="MV86" t="str">
            <v>0615ed03-Moralt - Moralt OutDoor FERRO Passiv KlimaSoft mit Verglasung</v>
          </cell>
        </row>
        <row r="87">
          <cell r="MV87" t="str">
            <v>0614ed03-Moralt - Moralt OutDoor FERRO Passiv mit Verglasung</v>
          </cell>
        </row>
        <row r="88">
          <cell r="MV88" t="str">
            <v>0798ed03-New Rock, s.r.o. - Varmaj</v>
          </cell>
        </row>
        <row r="89">
          <cell r="MV89" t="str">
            <v>0799ed03-New Rock, s.r.o. - Varmaj mit Verglasung</v>
          </cell>
        </row>
        <row r="90">
          <cell r="MV90" t="str">
            <v>0778ed03-Optiwin - ENTRADA</v>
          </cell>
        </row>
        <row r="91">
          <cell r="MV91" t="str">
            <v>0634ed03-pro Passivhausfenster  - smartwin entrance</v>
          </cell>
        </row>
        <row r="92">
          <cell r="MV92" t="str">
            <v>0690ed03-pro Passivhausfenster  - smartwin entrance mit Verglasung</v>
          </cell>
        </row>
        <row r="93">
          <cell r="MV93" t="str">
            <v>0204ed03-profine - Kömmerling 88plus®  Passivhaustür</v>
          </cell>
        </row>
        <row r="94">
          <cell r="MV94" t="str">
            <v>0132ed03-profine - TROCAL® 88+ Passivhaustür mit 70mm Haustürflügel</v>
          </cell>
        </row>
        <row r="95">
          <cell r="MV95" t="str">
            <v>0179ed03-profine - TROCAL® 88+ Passivhaustür mit 88mm Haustürflügel</v>
          </cell>
        </row>
        <row r="96">
          <cell r="MV96" t="str">
            <v>0180ed03-Rehau - Haustür GENEO PHZ, mit Füllung Güwa einseitig flügelüberdeckend</v>
          </cell>
        </row>
        <row r="97">
          <cell r="MV97" t="str">
            <v>0182ed03-Rehau - Haustür GENEO PHZ, mit Füllung Güwa einseitig flügelüberdeckend - Variante ohne Stahlprofile in Türblatt und Zarge</v>
          </cell>
        </row>
        <row r="98">
          <cell r="MV98" t="str">
            <v>0181ed03-Rehau - Haustür GENEO PHZ, mit Füllung Güwa einseitig flügelüberdeckend mit Verglasung</v>
          </cell>
        </row>
        <row r="99">
          <cell r="MV99" t="str">
            <v>0183ed03-Rehau - Haustür GENEO PHZ, mit Füllung Güwa einseitig flügelüberdeckend mit Verglasung - Variante ohne Stahlprofile in Türblatt und Zarge</v>
          </cell>
        </row>
        <row r="100">
          <cell r="MV100" t="str">
            <v>0184ed03-Rehau - Haustür GENEO PHZ, mit Füllung Güwa zweiseitig flügelüberdeckend</v>
          </cell>
        </row>
        <row r="101">
          <cell r="MV101" t="str">
            <v>0186ed03-Rehau - Haustür GENEO PHZ, mit Füllung Güwa zweiseitig flügelüberdeckend  - Variante ohne Stahlprofile in Türblatt und Zarge</v>
          </cell>
        </row>
        <row r="102">
          <cell r="MV102" t="str">
            <v>0185ed03-Rehau - Haustür GENEO PHZ, mit Füllung Güwa zweiseitig flügelüberdeckend mit Verglasung</v>
          </cell>
        </row>
        <row r="103">
          <cell r="MV103" t="str">
            <v>0187ed03-Rehau - Haustür GENEO PHZ, mit Füllung Güwa zweiseitig flügelüberdeckend mit Verglasung  - Variante ohne Stahlprofile in Türblatt und Zarge</v>
          </cell>
        </row>
        <row r="104">
          <cell r="MV104" t="str">
            <v>0189ed03-Rehau - Haustür GENEO PHZ, mit Füllung Rodenberg einseitig flügelüberdeckend</v>
          </cell>
        </row>
        <row r="105">
          <cell r="MV105" t="str">
            <v>0191ed03-Rehau - Haustür GENEO PHZ, mit Füllung Rodenberg einseitig flügelüberdeckend  - Variante ohne Stahlprofile in Türblatt und Zarge</v>
          </cell>
        </row>
        <row r="106">
          <cell r="MV106" t="str">
            <v>0190ed03-Rehau - Haustür GENEO PHZ, mit Füllung Rodenberg einseitig flügelüberdeckend mit Verglasung</v>
          </cell>
        </row>
        <row r="107">
          <cell r="MV107" t="str">
            <v>0192ed03-Rehau - Haustür GENEO PHZ, mit Füllung Rodenberg einseitig flügelüberdeckend mit Verglasung  - Variante ohne Stahlprofile in Türblatt und Zarge</v>
          </cell>
        </row>
        <row r="108">
          <cell r="MV108" t="str">
            <v>0193ed03-Rehau - Haustür GENEO PHZ, mit Füllung Rodenberg zweiseitig flügelüberdeckend</v>
          </cell>
        </row>
        <row r="109">
          <cell r="MV109" t="str">
            <v>0195ed03-Rehau - Haustür GENEO PHZ, mit Füllung Rodenberg zweiseitig flügelüberdeckend  - Variante ohne Stahlprofile in Türblatt und Zarge</v>
          </cell>
        </row>
        <row r="110">
          <cell r="MV110" t="str">
            <v>0194ed03-Rehau - Haustür GENEO PHZ, mit Füllung Rodenberg zweiseitig flügelüberdeckend mit Verglasung</v>
          </cell>
        </row>
        <row r="111">
          <cell r="MV111" t="str">
            <v>0196ed03-Rehau - Haustür GENEO PHZ, mit Füllung Rodenberg zweiseitig flügelüberdeckend mit Verglasung  - Variante ohne Stahlprofile in Türblatt und Zarge</v>
          </cell>
        </row>
        <row r="112">
          <cell r="MV112" t="str">
            <v>0207ed03-Reynaers - CS104 door with insulating panel</v>
          </cell>
        </row>
        <row r="113">
          <cell r="MV113" t="str">
            <v>0139ed03-Rubner - Rubner Passivhaustür</v>
          </cell>
        </row>
        <row r="114">
          <cell r="MV114" t="str">
            <v>0197ed03-Sturm - Clima Top Plus</v>
          </cell>
        </row>
        <row r="115">
          <cell r="MV115" t="str">
            <v>0200ed03-Sturm - Clima Top Plus mit Verglasung</v>
          </cell>
        </row>
        <row r="116">
          <cell r="MV116" t="str">
            <v>0601ed03-TOPIC - Topic Passivhaustür</v>
          </cell>
        </row>
        <row r="117">
          <cell r="MV117" t="str">
            <v>0610ed03-TOPIC - Topic Passivhaustür mit Verglasung</v>
          </cell>
        </row>
        <row r="118">
          <cell r="MV118" t="str">
            <v>0835ed03-TSH System GmbH - TSH Passivhaus-Außentür</v>
          </cell>
        </row>
        <row r="119">
          <cell r="MV119" t="str">
            <v>0838ed03-TSH System GmbH - TSH Passivhaus-Außentür mit Verglasung</v>
          </cell>
        </row>
        <row r="120">
          <cell r="MV120" t="str">
            <v>0542ed03-Urban Front - E98Passiv</v>
          </cell>
        </row>
        <row r="121">
          <cell r="MV121" t="str">
            <v>0138ed03-VARIOTEC - Thermosafe 100</v>
          </cell>
        </row>
        <row r="122">
          <cell r="MV122" t="str">
            <v>0526ed03-WindowStar s.r.o. - Passion</v>
          </cell>
        </row>
        <row r="123">
          <cell r="MV123" t="str">
            <v>0832as03-FAKRO - LWT</v>
          </cell>
        </row>
        <row r="124">
          <cell r="MV124" t="str">
            <v>0817as03-WELLHOEFER - Passivhaus-Bodentreppen mit PH-Anschluss-System</v>
          </cell>
        </row>
        <row r="125">
          <cell r="MV125" t="str">
            <v>0836as01-WIPPRO - KLIMATEC 160</v>
          </cell>
        </row>
        <row r="126">
          <cell r="MV126" t="str">
            <v/>
          </cell>
        </row>
        <row r="127">
          <cell r="MV127" t="str">
            <v/>
          </cell>
        </row>
        <row r="128">
          <cell r="MV128" t="str">
            <v/>
          </cell>
        </row>
        <row r="129">
          <cell r="MV129" t="str">
            <v/>
          </cell>
        </row>
        <row r="130">
          <cell r="MV130" t="str">
            <v/>
          </cell>
        </row>
        <row r="131">
          <cell r="MV131" t="str">
            <v/>
          </cell>
        </row>
        <row r="132">
          <cell r="MV132" t="str">
            <v/>
          </cell>
        </row>
        <row r="133">
          <cell r="MV133" t="str">
            <v/>
          </cell>
        </row>
        <row r="134">
          <cell r="MV134" t="str">
            <v/>
          </cell>
        </row>
        <row r="135">
          <cell r="MV135" t="str">
            <v/>
          </cell>
        </row>
        <row r="136">
          <cell r="MV136" t="str">
            <v/>
          </cell>
        </row>
        <row r="137">
          <cell r="MV137" t="str">
            <v/>
          </cell>
        </row>
        <row r="138">
          <cell r="MV138" t="str">
            <v/>
          </cell>
        </row>
        <row r="139">
          <cell r="MV139" t="str">
            <v/>
          </cell>
        </row>
        <row r="140">
          <cell r="MV140" t="str">
            <v/>
          </cell>
        </row>
        <row r="141">
          <cell r="MV141" t="str">
            <v/>
          </cell>
        </row>
        <row r="142">
          <cell r="MV142" t="str">
            <v/>
          </cell>
        </row>
        <row r="143">
          <cell r="MV143" t="str">
            <v/>
          </cell>
        </row>
        <row r="144">
          <cell r="MV144" t="str">
            <v/>
          </cell>
        </row>
        <row r="145">
          <cell r="MV145" t="str">
            <v/>
          </cell>
        </row>
        <row r="146">
          <cell r="MV146" t="str">
            <v/>
          </cell>
        </row>
        <row r="147">
          <cell r="MV147" t="str">
            <v/>
          </cell>
        </row>
        <row r="148">
          <cell r="MV148" t="str">
            <v/>
          </cell>
        </row>
        <row r="149">
          <cell r="MV149" t="str">
            <v/>
          </cell>
        </row>
        <row r="150">
          <cell r="MV150" t="str">
            <v/>
          </cell>
        </row>
        <row r="151">
          <cell r="MV151" t="str">
            <v/>
          </cell>
        </row>
        <row r="152">
          <cell r="MV152" t="str">
            <v/>
          </cell>
        </row>
        <row r="153">
          <cell r="MV153" t="str">
            <v/>
          </cell>
        </row>
        <row r="154">
          <cell r="MV154" t="str">
            <v/>
          </cell>
        </row>
        <row r="155">
          <cell r="MV155" t="str">
            <v/>
          </cell>
        </row>
        <row r="156">
          <cell r="MV156" t="str">
            <v/>
          </cell>
        </row>
        <row r="157">
          <cell r="MV157" t="str">
            <v/>
          </cell>
        </row>
        <row r="158">
          <cell r="MV158" t="str">
            <v/>
          </cell>
        </row>
        <row r="159">
          <cell r="MV159" t="str">
            <v/>
          </cell>
        </row>
        <row r="160">
          <cell r="MV160" t="str">
            <v/>
          </cell>
        </row>
        <row r="161">
          <cell r="MV161" t="str">
            <v/>
          </cell>
        </row>
        <row r="162">
          <cell r="MV162" t="str">
            <v/>
          </cell>
        </row>
        <row r="163">
          <cell r="MV163" t="str">
            <v/>
          </cell>
        </row>
        <row r="164">
          <cell r="MV164" t="str">
            <v/>
          </cell>
        </row>
        <row r="165">
          <cell r="MV165" t="str">
            <v/>
          </cell>
        </row>
        <row r="166">
          <cell r="MV166" t="str">
            <v/>
          </cell>
        </row>
        <row r="167">
          <cell r="MV167" t="str">
            <v/>
          </cell>
        </row>
        <row r="168">
          <cell r="MV168" t="str">
            <v/>
          </cell>
        </row>
        <row r="169">
          <cell r="MV169" t="str">
            <v/>
          </cell>
        </row>
        <row r="170">
          <cell r="MV170" t="str">
            <v/>
          </cell>
        </row>
        <row r="171">
          <cell r="MV171" t="str">
            <v/>
          </cell>
        </row>
        <row r="172">
          <cell r="MV172" t="str">
            <v/>
          </cell>
        </row>
        <row r="173">
          <cell r="MV173" t="str">
            <v/>
          </cell>
        </row>
        <row r="174">
          <cell r="MV174" t="str">
            <v/>
          </cell>
        </row>
        <row r="175">
          <cell r="MV175" t="str">
            <v/>
          </cell>
        </row>
        <row r="176">
          <cell r="MV176" t="str">
            <v/>
          </cell>
        </row>
        <row r="177">
          <cell r="MV177" t="str">
            <v/>
          </cell>
        </row>
        <row r="178">
          <cell r="MV178" t="str">
            <v/>
          </cell>
        </row>
        <row r="179">
          <cell r="MV179" t="str">
            <v/>
          </cell>
        </row>
        <row r="180">
          <cell r="MV180" t="str">
            <v/>
          </cell>
        </row>
        <row r="181">
          <cell r="MV181" t="str">
            <v/>
          </cell>
        </row>
        <row r="182">
          <cell r="MV182" t="str">
            <v/>
          </cell>
        </row>
        <row r="183">
          <cell r="MV183" t="str">
            <v/>
          </cell>
        </row>
        <row r="184">
          <cell r="MV184" t="str">
            <v/>
          </cell>
        </row>
        <row r="185">
          <cell r="MV185" t="str">
            <v/>
          </cell>
        </row>
        <row r="186">
          <cell r="MV186" t="str">
            <v/>
          </cell>
        </row>
        <row r="187">
          <cell r="MV187" t="str">
            <v/>
          </cell>
        </row>
        <row r="188">
          <cell r="MV188" t="str">
            <v/>
          </cell>
        </row>
        <row r="189">
          <cell r="MV189" t="str">
            <v/>
          </cell>
        </row>
        <row r="190">
          <cell r="MV190" t="str">
            <v/>
          </cell>
        </row>
        <row r="191">
          <cell r="MV191" t="str">
            <v/>
          </cell>
        </row>
        <row r="192">
          <cell r="MV192" t="str">
            <v/>
          </cell>
        </row>
        <row r="193">
          <cell r="MV193" t="str">
            <v/>
          </cell>
        </row>
        <row r="194">
          <cell r="MV194" t="str">
            <v/>
          </cell>
        </row>
        <row r="195">
          <cell r="MV195" t="str">
            <v/>
          </cell>
        </row>
        <row r="196">
          <cell r="MV196" t="str">
            <v/>
          </cell>
        </row>
        <row r="197">
          <cell r="MV197" t="str">
            <v/>
          </cell>
        </row>
        <row r="198">
          <cell r="MV198" t="str">
            <v/>
          </cell>
        </row>
        <row r="199">
          <cell r="MV199" t="str">
            <v/>
          </cell>
        </row>
        <row r="200">
          <cell r="MV200" t="str">
            <v/>
          </cell>
        </row>
        <row r="201">
          <cell r="MV201" t="str">
            <v/>
          </cell>
        </row>
        <row r="202">
          <cell r="MV202" t="str">
            <v/>
          </cell>
        </row>
        <row r="203">
          <cell r="MV203" t="str">
            <v/>
          </cell>
        </row>
        <row r="204">
          <cell r="MV204" t="str">
            <v/>
          </cell>
        </row>
        <row r="205">
          <cell r="MV205" t="str">
            <v/>
          </cell>
        </row>
        <row r="206">
          <cell r="MV206" t="str">
            <v/>
          </cell>
        </row>
        <row r="207">
          <cell r="MV207" t="str">
            <v/>
          </cell>
        </row>
        <row r="208">
          <cell r="MV208" t="str">
            <v/>
          </cell>
        </row>
        <row r="209">
          <cell r="MV209" t="str">
            <v/>
          </cell>
        </row>
        <row r="210">
          <cell r="MV210" t="str">
            <v/>
          </cell>
        </row>
        <row r="211">
          <cell r="MV211" t="str">
            <v/>
          </cell>
        </row>
        <row r="212">
          <cell r="MV212" t="str">
            <v/>
          </cell>
        </row>
        <row r="213">
          <cell r="MV213" t="str">
            <v/>
          </cell>
        </row>
        <row r="214">
          <cell r="MV214" t="str">
            <v/>
          </cell>
        </row>
        <row r="215">
          <cell r="MV215" t="str">
            <v/>
          </cell>
        </row>
        <row r="216">
          <cell r="MV216" t="str">
            <v/>
          </cell>
        </row>
        <row r="217">
          <cell r="MV217" t="str">
            <v/>
          </cell>
        </row>
        <row r="218">
          <cell r="MV218" t="str">
            <v/>
          </cell>
        </row>
        <row r="219">
          <cell r="MV219" t="str">
            <v/>
          </cell>
        </row>
        <row r="220">
          <cell r="MV220" t="str">
            <v/>
          </cell>
        </row>
        <row r="221">
          <cell r="MV221" t="str">
            <v/>
          </cell>
        </row>
        <row r="222">
          <cell r="MV222" t="str">
            <v/>
          </cell>
        </row>
        <row r="223">
          <cell r="MV223" t="str">
            <v/>
          </cell>
        </row>
        <row r="224">
          <cell r="MV224" t="str">
            <v/>
          </cell>
        </row>
        <row r="225">
          <cell r="MV225" t="str">
            <v/>
          </cell>
        </row>
        <row r="226">
          <cell r="MV226" t="str">
            <v/>
          </cell>
        </row>
        <row r="227">
          <cell r="MV227" t="str">
            <v/>
          </cell>
        </row>
        <row r="228">
          <cell r="MV228" t="str">
            <v/>
          </cell>
        </row>
        <row r="229">
          <cell r="MV229" t="str">
            <v/>
          </cell>
        </row>
        <row r="230">
          <cell r="MV230" t="str">
            <v/>
          </cell>
        </row>
        <row r="231">
          <cell r="MV231" t="str">
            <v/>
          </cell>
        </row>
        <row r="232">
          <cell r="MV232" t="str">
            <v/>
          </cell>
        </row>
        <row r="233">
          <cell r="MV233" t="str">
            <v/>
          </cell>
        </row>
        <row r="234">
          <cell r="MV234" t="str">
            <v/>
          </cell>
        </row>
        <row r="235">
          <cell r="MV235" t="str">
            <v/>
          </cell>
        </row>
        <row r="236">
          <cell r="MV236" t="str">
            <v/>
          </cell>
        </row>
        <row r="237">
          <cell r="MV237" t="str">
            <v/>
          </cell>
        </row>
        <row r="238">
          <cell r="MV238" t="str">
            <v/>
          </cell>
        </row>
        <row r="239">
          <cell r="MV239" t="str">
            <v/>
          </cell>
        </row>
        <row r="240">
          <cell r="MV240" t="str">
            <v/>
          </cell>
        </row>
        <row r="241">
          <cell r="MV241" t="str">
            <v/>
          </cell>
        </row>
        <row r="242">
          <cell r="MV242" t="str">
            <v/>
          </cell>
        </row>
        <row r="243">
          <cell r="MV243" t="str">
            <v/>
          </cell>
        </row>
        <row r="244">
          <cell r="MV244" t="str">
            <v/>
          </cell>
        </row>
        <row r="245">
          <cell r="MV245" t="str">
            <v/>
          </cell>
        </row>
        <row r="246">
          <cell r="MV246" t="str">
            <v/>
          </cell>
        </row>
        <row r="247">
          <cell r="MV247" t="str">
            <v/>
          </cell>
        </row>
        <row r="248">
          <cell r="MV248" t="str">
            <v/>
          </cell>
        </row>
        <row r="249">
          <cell r="MV249" t="str">
            <v/>
          </cell>
        </row>
        <row r="250">
          <cell r="MV250" t="str">
            <v/>
          </cell>
        </row>
        <row r="251">
          <cell r="MV251" t="str">
            <v/>
          </cell>
        </row>
        <row r="252">
          <cell r="MV252" t="str">
            <v/>
          </cell>
        </row>
        <row r="253">
          <cell r="MV253" t="str">
            <v/>
          </cell>
        </row>
        <row r="254">
          <cell r="MV254" t="str">
            <v/>
          </cell>
        </row>
        <row r="255">
          <cell r="MV255" t="str">
            <v/>
          </cell>
        </row>
        <row r="256">
          <cell r="MV256" t="str">
            <v/>
          </cell>
        </row>
        <row r="257">
          <cell r="MV257" t="str">
            <v/>
          </cell>
        </row>
        <row r="258">
          <cell r="MV258" t="str">
            <v/>
          </cell>
        </row>
        <row r="259">
          <cell r="MV259" t="str">
            <v/>
          </cell>
        </row>
        <row r="260">
          <cell r="MV260" t="str">
            <v/>
          </cell>
        </row>
        <row r="261">
          <cell r="MV261" t="str">
            <v/>
          </cell>
        </row>
        <row r="262">
          <cell r="MV262" t="str">
            <v/>
          </cell>
        </row>
        <row r="263">
          <cell r="MV263" t="str">
            <v/>
          </cell>
        </row>
        <row r="264">
          <cell r="MV264" t="str">
            <v/>
          </cell>
        </row>
        <row r="265">
          <cell r="MV265" t="str">
            <v/>
          </cell>
        </row>
        <row r="266">
          <cell r="MV266" t="str">
            <v/>
          </cell>
        </row>
        <row r="267">
          <cell r="MV267" t="str">
            <v/>
          </cell>
        </row>
        <row r="268">
          <cell r="MV268" t="str">
            <v/>
          </cell>
        </row>
        <row r="269">
          <cell r="MV269" t="str">
            <v/>
          </cell>
        </row>
        <row r="270">
          <cell r="MV270" t="str">
            <v/>
          </cell>
        </row>
        <row r="271">
          <cell r="MV271" t="str">
            <v/>
          </cell>
        </row>
        <row r="272">
          <cell r="MV272" t="str">
            <v/>
          </cell>
        </row>
        <row r="273">
          <cell r="MV273" t="str">
            <v/>
          </cell>
        </row>
        <row r="274">
          <cell r="MV274" t="str">
            <v/>
          </cell>
        </row>
        <row r="275">
          <cell r="MV275" t="str">
            <v/>
          </cell>
        </row>
        <row r="276">
          <cell r="MV276" t="str">
            <v/>
          </cell>
        </row>
        <row r="277">
          <cell r="MV277" t="str">
            <v/>
          </cell>
        </row>
        <row r="278">
          <cell r="MV278" t="str">
            <v/>
          </cell>
        </row>
        <row r="279">
          <cell r="MV279" t="str">
            <v/>
          </cell>
        </row>
        <row r="280">
          <cell r="MV280" t="str">
            <v/>
          </cell>
        </row>
        <row r="281">
          <cell r="MV281" t="str">
            <v/>
          </cell>
        </row>
        <row r="282">
          <cell r="MV282" t="str">
            <v/>
          </cell>
        </row>
        <row r="283">
          <cell r="MV283" t="str">
            <v/>
          </cell>
        </row>
        <row r="284">
          <cell r="MV284" t="str">
            <v/>
          </cell>
        </row>
        <row r="285">
          <cell r="MV285" t="str">
            <v/>
          </cell>
        </row>
        <row r="286">
          <cell r="MV286" t="str">
            <v/>
          </cell>
        </row>
        <row r="287">
          <cell r="MV287" t="str">
            <v/>
          </cell>
        </row>
        <row r="288">
          <cell r="MV288" t="str">
            <v/>
          </cell>
        </row>
        <row r="289">
          <cell r="MV289" t="str">
            <v/>
          </cell>
        </row>
        <row r="290">
          <cell r="MV290" t="str">
            <v/>
          </cell>
        </row>
        <row r="291">
          <cell r="MV291" t="str">
            <v/>
          </cell>
        </row>
        <row r="292">
          <cell r="MV292" t="str">
            <v/>
          </cell>
        </row>
        <row r="293">
          <cell r="MV293" t="str">
            <v/>
          </cell>
        </row>
        <row r="294">
          <cell r="MV294" t="str">
            <v/>
          </cell>
        </row>
        <row r="295">
          <cell r="MV295" t="str">
            <v/>
          </cell>
        </row>
        <row r="296">
          <cell r="MV296" t="str">
            <v/>
          </cell>
        </row>
        <row r="297">
          <cell r="MV297" t="str">
            <v/>
          </cell>
        </row>
        <row r="298">
          <cell r="MV298" t="str">
            <v/>
          </cell>
        </row>
        <row r="299">
          <cell r="MV299" t="str">
            <v/>
          </cell>
        </row>
        <row r="300">
          <cell r="MV300" t="str">
            <v/>
          </cell>
        </row>
        <row r="301">
          <cell r="MV301" t="str">
            <v/>
          </cell>
        </row>
        <row r="302">
          <cell r="MV302" t="str">
            <v/>
          </cell>
        </row>
        <row r="303">
          <cell r="MV303" t="str">
            <v/>
          </cell>
        </row>
        <row r="304">
          <cell r="MV304" t="str">
            <v/>
          </cell>
        </row>
        <row r="305">
          <cell r="MV305" t="str">
            <v/>
          </cell>
        </row>
        <row r="306">
          <cell r="MV306" t="str">
            <v/>
          </cell>
        </row>
        <row r="307">
          <cell r="MV307" t="str">
            <v/>
          </cell>
        </row>
        <row r="308">
          <cell r="MV308" t="str">
            <v/>
          </cell>
        </row>
        <row r="309">
          <cell r="MV309" t="str">
            <v/>
          </cell>
        </row>
        <row r="310">
          <cell r="MV310" t="str">
            <v/>
          </cell>
        </row>
        <row r="311">
          <cell r="MV311" t="str">
            <v/>
          </cell>
        </row>
        <row r="312">
          <cell r="MV312" t="str">
            <v/>
          </cell>
        </row>
        <row r="313">
          <cell r="MV313" t="str">
            <v/>
          </cell>
        </row>
        <row r="314">
          <cell r="MV314" t="str">
            <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718">
          <cell r="A718" t="str">
            <v/>
          </cell>
        </row>
        <row r="719">
          <cell r="A719" t="str">
            <v>x</v>
          </cell>
        </row>
        <row r="754">
          <cell r="A754" t="str">
            <v>1-Roof</v>
          </cell>
          <cell r="C754" t="str">
            <v>1-Outdoor air</v>
          </cell>
        </row>
        <row r="755">
          <cell r="A755" t="str">
            <v>2-Wall</v>
          </cell>
          <cell r="C755" t="str">
            <v>2-Ground</v>
          </cell>
        </row>
        <row r="756">
          <cell r="A756" t="str">
            <v>3-Floor</v>
          </cell>
          <cell r="C756" t="str">
            <v>3-Ventilated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utphit.eu/"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hyperlink" Target="https://api.environdec.com/api/v1/EPDLibrary/Files/cd0ad1c8-7fd0-4c68-b8f0-08d8d1855218/Data" TargetMode="External"/><Relationship Id="rId13" Type="http://schemas.openxmlformats.org/officeDocument/2006/relationships/comments" Target="../comments5.xml"/><Relationship Id="rId3" Type="http://schemas.openxmlformats.org/officeDocument/2006/relationships/hyperlink" Target="https://www.oekobaudat.de/OEKOBAU.DAT/resource/processes/2a007a28-73b0-44ab-8c0e-1c514d480b46?version=00.00.026" TargetMode="External"/><Relationship Id="rId7" Type="http://schemas.openxmlformats.org/officeDocument/2006/relationships/hyperlink" Target="https://api.environdec.com/api/v1/EPDLibrary/Files/cd0ad1c8-7fd0-4c68-b8f0-08d8d1855218/Data" TargetMode="External"/><Relationship Id="rId12" Type="http://schemas.openxmlformats.org/officeDocument/2006/relationships/vmlDrawing" Target="../drawings/vmlDrawing5.vml"/><Relationship Id="rId2" Type="http://schemas.openxmlformats.org/officeDocument/2006/relationships/hyperlink" Target="https://www.oekobaudat.de/OEKOBAU.DAT/resource/processes/4ca023d1-2eda-43ab-9c55-481a6d250d9b?version=20.21.060" TargetMode="External"/><Relationship Id="rId1" Type="http://schemas.openxmlformats.org/officeDocument/2006/relationships/hyperlink" Target="https://www.oekobaudat.de/OEKOBAU.DAT/resource/processes/c58cb849-f05f-4edf-af22-8f87c1f84975?version=20.21.060" TargetMode="External"/><Relationship Id="rId6" Type="http://schemas.openxmlformats.org/officeDocument/2006/relationships/hyperlink" Target="https://www.oekobaudat.de/OEKOBAU.DAT/resource/processes/6ef00a53-1ddc-4c60-8840-e57a860ce18b?version=20.21.060" TargetMode="External"/><Relationship Id="rId11" Type="http://schemas.openxmlformats.org/officeDocument/2006/relationships/printerSettings" Target="../printerSettings/printerSettings7.bin"/><Relationship Id="rId5" Type="http://schemas.openxmlformats.org/officeDocument/2006/relationships/hyperlink" Target="https://www.oekobaudat.de/OEKOBAU.DAT/resource/processes/7907e693-d970-4958-adfd-223b541fc731?version=20.21.060" TargetMode="External"/><Relationship Id="rId10" Type="http://schemas.openxmlformats.org/officeDocument/2006/relationships/hyperlink" Target="https://www.wisaplywood.com/siteassets/documents/certificates/rts-epd-19-19_upm_plywood_wisa_birch__uncoated_signed.pdf" TargetMode="External"/><Relationship Id="rId4" Type="http://schemas.openxmlformats.org/officeDocument/2006/relationships/hyperlink" Target="https://www.oekobaudat.de/OEKOBAU.DAT/resource/processes/ffd4bc0e-1d99-4e84-8710-6dcbf34a98a6?version=20.21.060" TargetMode="External"/><Relationship Id="rId9" Type="http://schemas.openxmlformats.org/officeDocument/2006/relationships/hyperlink" Target="https://api.environdec.com/api/v1/EPDLibrary/Files/cd0ad1c8-7fd0-4c68-b8f0-08d8d1855218/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7"/>
  <sheetViews>
    <sheetView workbookViewId="0"/>
  </sheetViews>
  <sheetFormatPr defaultColWidth="11.42578125" defaultRowHeight="15" x14ac:dyDescent="0.25"/>
  <cols>
    <col min="1" max="1" width="3.42578125" customWidth="1"/>
    <col min="2" max="2" width="3.140625" customWidth="1"/>
    <col min="3" max="3" width="29.5703125" customWidth="1"/>
    <col min="4" max="4" width="9.140625" customWidth="1"/>
    <col min="5" max="5" width="10.28515625" customWidth="1"/>
    <col min="6" max="6" width="0" hidden="1" customWidth="1"/>
    <col min="7" max="7" width="8.42578125" customWidth="1"/>
    <col min="9" max="9" width="2.5703125" customWidth="1"/>
    <col min="10" max="10" width="17.5703125" customWidth="1"/>
    <col min="12" max="12" width="2.7109375" customWidth="1"/>
    <col min="13" max="13" width="9.5703125" customWidth="1"/>
    <col min="14" max="14" width="2.5703125" customWidth="1"/>
    <col min="15" max="15" width="19.28515625" customWidth="1"/>
    <col min="17" max="17" width="2.7109375" customWidth="1"/>
  </cols>
  <sheetData>
    <row r="1" spans="2:17" ht="20.25" x14ac:dyDescent="0.3">
      <c r="B1" s="13" t="s">
        <v>0</v>
      </c>
    </row>
    <row r="3" spans="2:17" x14ac:dyDescent="0.25">
      <c r="B3" s="15"/>
      <c r="C3" s="16"/>
      <c r="D3" s="16"/>
      <c r="E3" s="16"/>
      <c r="G3" s="17"/>
      <c r="I3" s="15"/>
      <c r="J3" s="16"/>
      <c r="K3" s="16"/>
      <c r="L3" s="17"/>
      <c r="N3" s="15"/>
      <c r="O3" s="16"/>
      <c r="P3" s="16"/>
      <c r="Q3" s="17"/>
    </row>
    <row r="4" spans="2:17" x14ac:dyDescent="0.25">
      <c r="B4" s="18"/>
      <c r="C4" s="2" t="s">
        <v>1</v>
      </c>
      <c r="D4" s="1" t="s">
        <v>2</v>
      </c>
      <c r="E4" s="41">
        <v>0.13</v>
      </c>
      <c r="G4" s="19"/>
      <c r="I4" s="18"/>
      <c r="J4" s="24" t="s">
        <v>11</v>
      </c>
      <c r="K4" s="20"/>
      <c r="L4" s="19"/>
      <c r="N4" s="18"/>
      <c r="O4" s="24" t="s">
        <v>22</v>
      </c>
      <c r="P4" s="20"/>
      <c r="Q4" s="19"/>
    </row>
    <row r="5" spans="2:17" x14ac:dyDescent="0.25">
      <c r="B5" s="18"/>
      <c r="C5" s="2"/>
      <c r="D5" s="1" t="s">
        <v>3</v>
      </c>
      <c r="E5" s="41">
        <v>0.04</v>
      </c>
      <c r="G5" s="19"/>
      <c r="I5" s="18"/>
      <c r="J5" s="1"/>
      <c r="K5" s="12"/>
      <c r="L5" s="19"/>
      <c r="N5" s="18"/>
      <c r="O5" s="1"/>
      <c r="P5" s="12"/>
      <c r="Q5" s="19"/>
    </row>
    <row r="6" spans="2:17" ht="15.75" thickBot="1" x14ac:dyDescent="0.3">
      <c r="B6" s="18"/>
      <c r="C6" s="20"/>
      <c r="D6" s="20"/>
      <c r="E6" s="20"/>
      <c r="G6" s="19"/>
      <c r="I6" s="18"/>
      <c r="J6" s="29" t="s">
        <v>20</v>
      </c>
      <c r="K6" s="30" t="s">
        <v>21</v>
      </c>
      <c r="L6" s="19"/>
      <c r="N6" s="18"/>
      <c r="O6" s="29" t="s">
        <v>4</v>
      </c>
      <c r="P6" s="39" t="s">
        <v>23</v>
      </c>
      <c r="Q6" s="19"/>
    </row>
    <row r="7" spans="2:17" x14ac:dyDescent="0.25">
      <c r="B7" s="18"/>
      <c r="C7" s="3" t="s">
        <v>4</v>
      </c>
      <c r="D7" s="4" t="s">
        <v>5</v>
      </c>
      <c r="E7" s="5" t="s">
        <v>6</v>
      </c>
      <c r="F7" t="s">
        <v>43</v>
      </c>
      <c r="G7" s="19"/>
      <c r="I7" s="18"/>
      <c r="J7" s="33" t="s">
        <v>12</v>
      </c>
      <c r="K7" s="34"/>
      <c r="L7" s="19"/>
      <c r="N7" s="18"/>
      <c r="O7" s="37" t="s">
        <v>24</v>
      </c>
      <c r="P7" s="38">
        <v>0.51</v>
      </c>
      <c r="Q7" s="19"/>
    </row>
    <row r="8" spans="2:17" x14ac:dyDescent="0.25">
      <c r="B8" s="18"/>
      <c r="C8" s="6" t="s">
        <v>24</v>
      </c>
      <c r="D8" s="42">
        <v>0.51</v>
      </c>
      <c r="E8" s="7">
        <v>15</v>
      </c>
      <c r="F8">
        <f>IF(AND(ISNUMBER(D8),ISNUMBER(E8)),(E8/1000)/D8,0)</f>
        <v>2.9411764705882353E-2</v>
      </c>
      <c r="G8" s="19"/>
      <c r="I8" s="18"/>
      <c r="J8" s="27" t="s">
        <v>13</v>
      </c>
      <c r="K8" s="28">
        <v>0.13</v>
      </c>
      <c r="L8" s="19"/>
      <c r="N8" s="18"/>
      <c r="O8" s="27" t="s">
        <v>25</v>
      </c>
      <c r="P8" s="36">
        <v>1</v>
      </c>
      <c r="Q8" s="19"/>
    </row>
    <row r="9" spans="2:17" x14ac:dyDescent="0.25">
      <c r="B9" s="18"/>
      <c r="C9" s="6" t="s">
        <v>102</v>
      </c>
      <c r="D9" s="42">
        <v>1</v>
      </c>
      <c r="E9" s="7">
        <v>15</v>
      </c>
      <c r="F9">
        <f t="shared" ref="F9:F12" si="0">IF(AND(ISNUMBER(D9),ISNUMBER(E9)),(E9/1000)/D9,0)</f>
        <v>1.4999999999999999E-2</v>
      </c>
      <c r="G9" s="19"/>
      <c r="I9" s="18"/>
      <c r="J9" s="27" t="s">
        <v>14</v>
      </c>
      <c r="K9" s="28">
        <v>0.1</v>
      </c>
      <c r="L9" s="19"/>
      <c r="N9" s="18"/>
      <c r="O9" s="27" t="s">
        <v>77</v>
      </c>
      <c r="P9" s="36">
        <v>1</v>
      </c>
      <c r="Q9" s="19"/>
    </row>
    <row r="10" spans="2:17" x14ac:dyDescent="0.25">
      <c r="B10" s="18"/>
      <c r="C10" s="6" t="s">
        <v>103</v>
      </c>
      <c r="D10" s="42">
        <v>0.04</v>
      </c>
      <c r="E10" s="7">
        <v>390</v>
      </c>
      <c r="F10">
        <f t="shared" si="0"/>
        <v>9.75</v>
      </c>
      <c r="G10" s="19"/>
      <c r="I10" s="18"/>
      <c r="J10" s="27" t="s">
        <v>15</v>
      </c>
      <c r="K10" s="28">
        <v>0.17</v>
      </c>
      <c r="L10" s="19"/>
      <c r="N10" s="18"/>
      <c r="O10" s="27" t="s">
        <v>45</v>
      </c>
      <c r="P10" s="36">
        <v>0.1</v>
      </c>
      <c r="Q10" s="19"/>
    </row>
    <row r="11" spans="2:17" x14ac:dyDescent="0.25">
      <c r="B11" s="18"/>
      <c r="C11" s="6" t="s">
        <v>104</v>
      </c>
      <c r="D11" s="42">
        <v>1</v>
      </c>
      <c r="E11" s="7">
        <v>15</v>
      </c>
      <c r="F11">
        <f t="shared" si="0"/>
        <v>1.4999999999999999E-2</v>
      </c>
      <c r="G11" s="19"/>
      <c r="I11" s="18"/>
      <c r="J11" s="16"/>
      <c r="K11" s="25"/>
      <c r="L11" s="19"/>
      <c r="N11" s="18"/>
      <c r="O11" s="27" t="s">
        <v>27</v>
      </c>
      <c r="P11" s="36">
        <v>160</v>
      </c>
      <c r="Q11" s="19"/>
    </row>
    <row r="12" spans="2:17" x14ac:dyDescent="0.25">
      <c r="B12" s="18"/>
      <c r="C12" s="6"/>
      <c r="D12" s="42"/>
      <c r="E12" s="7"/>
      <c r="F12">
        <f t="shared" si="0"/>
        <v>0</v>
      </c>
      <c r="G12" s="19"/>
      <c r="I12" s="18"/>
      <c r="J12" s="31" t="s">
        <v>16</v>
      </c>
      <c r="K12" s="32"/>
      <c r="L12" s="19"/>
      <c r="N12" s="18"/>
      <c r="O12" s="27" t="s">
        <v>28</v>
      </c>
      <c r="P12" s="36">
        <v>3.2000000000000001E-2</v>
      </c>
      <c r="Q12" s="19"/>
    </row>
    <row r="13" spans="2:17" x14ac:dyDescent="0.25">
      <c r="B13" s="18"/>
      <c r="C13" s="20"/>
      <c r="D13" s="20"/>
      <c r="E13" s="5" t="s">
        <v>7</v>
      </c>
      <c r="G13" s="8"/>
      <c r="I13" s="18"/>
      <c r="J13" s="27" t="s">
        <v>17</v>
      </c>
      <c r="K13" s="28">
        <v>0.04</v>
      </c>
      <c r="L13" s="19"/>
      <c r="N13" s="18"/>
      <c r="O13" s="27" t="s">
        <v>29</v>
      </c>
      <c r="P13" s="36">
        <v>0.04</v>
      </c>
      <c r="Q13" s="19"/>
    </row>
    <row r="14" spans="2:17" ht="18" x14ac:dyDescent="0.25">
      <c r="B14" s="18"/>
      <c r="C14" s="20"/>
      <c r="D14" s="20"/>
      <c r="E14" s="9">
        <f>SUM(E8:E12)/10</f>
        <v>43.5</v>
      </c>
      <c r="G14" s="10" t="s">
        <v>8</v>
      </c>
      <c r="I14" s="18"/>
      <c r="J14" s="27" t="s">
        <v>15</v>
      </c>
      <c r="K14" s="28">
        <v>0</v>
      </c>
      <c r="L14" s="19"/>
      <c r="N14" s="18"/>
      <c r="O14" s="27" t="s">
        <v>32</v>
      </c>
      <c r="P14" s="36">
        <v>2.1999999999999999E-2</v>
      </c>
      <c r="Q14" s="19"/>
    </row>
    <row r="15" spans="2:17" x14ac:dyDescent="0.25">
      <c r="B15" s="18"/>
      <c r="C15" s="20"/>
      <c r="D15" s="20"/>
      <c r="E15" s="20"/>
      <c r="G15" s="19"/>
      <c r="I15" s="18"/>
      <c r="J15" s="27" t="s">
        <v>18</v>
      </c>
      <c r="K15" s="28">
        <f>K8</f>
        <v>0.13</v>
      </c>
      <c r="L15" s="19"/>
      <c r="N15" s="18"/>
      <c r="O15" s="27" t="s">
        <v>30</v>
      </c>
      <c r="P15" s="36">
        <v>4.4999999999999998E-2</v>
      </c>
      <c r="Q15" s="19"/>
    </row>
    <row r="16" spans="2:17" ht="18" x14ac:dyDescent="0.25">
      <c r="B16" s="18"/>
      <c r="C16" s="20"/>
      <c r="D16" s="11" t="s">
        <v>9</v>
      </c>
      <c r="E16" s="47">
        <f>F16</f>
        <v>0.10020630710285881</v>
      </c>
      <c r="F16">
        <f>1/(SUM(E4:E5,F8:F12))</f>
        <v>0.10020630710285881</v>
      </c>
      <c r="G16" s="10" t="s">
        <v>10</v>
      </c>
      <c r="I16" s="18"/>
      <c r="J16" s="27" t="s">
        <v>19</v>
      </c>
      <c r="K16" s="28">
        <f>K9</f>
        <v>0.1</v>
      </c>
      <c r="L16" s="19"/>
      <c r="N16" s="18"/>
      <c r="O16" s="27" t="s">
        <v>31</v>
      </c>
      <c r="P16" s="36">
        <v>0.13</v>
      </c>
      <c r="Q16" s="19"/>
    </row>
    <row r="17" spans="2:17" x14ac:dyDescent="0.25">
      <c r="B17" s="21"/>
      <c r="C17" s="22"/>
      <c r="D17" s="22"/>
      <c r="E17" s="22"/>
      <c r="G17" s="23"/>
      <c r="I17" s="21"/>
      <c r="J17" s="22"/>
      <c r="K17" s="22"/>
      <c r="L17" s="23"/>
      <c r="N17" s="21"/>
      <c r="O17" s="22"/>
      <c r="P17" s="22"/>
      <c r="Q17" s="23"/>
    </row>
    <row r="20" spans="2:17" x14ac:dyDescent="0.25">
      <c r="B20" s="14" t="s">
        <v>33</v>
      </c>
    </row>
    <row r="21" spans="2:17" x14ac:dyDescent="0.25">
      <c r="B21" t="s">
        <v>34</v>
      </c>
      <c r="C21" t="s">
        <v>41</v>
      </c>
    </row>
    <row r="22" spans="2:17" x14ac:dyDescent="0.25">
      <c r="B22" t="s">
        <v>35</v>
      </c>
      <c r="C22" t="s">
        <v>36</v>
      </c>
      <c r="N22" s="15"/>
      <c r="O22" s="16"/>
      <c r="P22" s="16"/>
      <c r="Q22" s="17"/>
    </row>
    <row r="23" spans="2:17" x14ac:dyDescent="0.25">
      <c r="B23" t="s">
        <v>37</v>
      </c>
      <c r="C23" t="s">
        <v>38</v>
      </c>
      <c r="N23" s="18"/>
      <c r="O23" s="24" t="s">
        <v>76</v>
      </c>
      <c r="P23" s="20"/>
      <c r="Q23" s="19"/>
    </row>
    <row r="24" spans="2:17" x14ac:dyDescent="0.25">
      <c r="C24" t="s">
        <v>39</v>
      </c>
      <c r="N24" s="18"/>
      <c r="O24" s="1"/>
      <c r="P24" s="12"/>
      <c r="Q24" s="19"/>
    </row>
    <row r="25" spans="2:17" ht="15.75" thickBot="1" x14ac:dyDescent="0.3">
      <c r="C25" t="s">
        <v>42</v>
      </c>
      <c r="N25" s="18"/>
      <c r="O25" s="29" t="s">
        <v>4</v>
      </c>
      <c r="P25" s="30" t="s">
        <v>40</v>
      </c>
      <c r="Q25" s="19"/>
    </row>
    <row r="26" spans="2:17" x14ac:dyDescent="0.25">
      <c r="B26" t="s">
        <v>44</v>
      </c>
      <c r="C26" t="s">
        <v>46</v>
      </c>
      <c r="N26" s="18"/>
      <c r="O26" s="27" t="s">
        <v>26</v>
      </c>
      <c r="P26" s="45"/>
      <c r="Q26" s="19"/>
    </row>
    <row r="27" spans="2:17" x14ac:dyDescent="0.25">
      <c r="C27" t="s">
        <v>47</v>
      </c>
      <c r="N27" s="18"/>
      <c r="O27" s="27" t="s">
        <v>45</v>
      </c>
      <c r="P27" s="45"/>
      <c r="Q27" s="19"/>
    </row>
    <row r="28" spans="2:17" x14ac:dyDescent="0.25">
      <c r="B28" t="s">
        <v>48</v>
      </c>
      <c r="C28" t="s">
        <v>49</v>
      </c>
      <c r="N28" s="18"/>
      <c r="O28" s="27" t="s">
        <v>27</v>
      </c>
      <c r="P28" s="45"/>
      <c r="Q28" s="19"/>
    </row>
    <row r="29" spans="2:17" x14ac:dyDescent="0.25">
      <c r="C29" t="s">
        <v>50</v>
      </c>
      <c r="N29" s="18"/>
      <c r="O29" s="27" t="s">
        <v>28</v>
      </c>
      <c r="P29" s="45"/>
      <c r="Q29" s="19"/>
    </row>
    <row r="30" spans="2:17" x14ac:dyDescent="0.25">
      <c r="C30" t="s">
        <v>51</v>
      </c>
      <c r="N30" s="18"/>
      <c r="O30" s="27" t="s">
        <v>32</v>
      </c>
      <c r="P30" s="45"/>
      <c r="Q30" s="19"/>
    </row>
    <row r="31" spans="2:17" x14ac:dyDescent="0.25">
      <c r="C31" t="s">
        <v>78</v>
      </c>
      <c r="N31" s="18"/>
      <c r="O31" s="27" t="s">
        <v>31</v>
      </c>
      <c r="P31" s="45"/>
      <c r="Q31" s="19"/>
    </row>
    <row r="32" spans="2:17" x14ac:dyDescent="0.25">
      <c r="C32" t="s">
        <v>79</v>
      </c>
      <c r="N32" s="21"/>
      <c r="O32" s="22"/>
      <c r="P32" s="22"/>
      <c r="Q32" s="23"/>
    </row>
    <row r="36" spans="2:17" ht="15.75" thickBot="1" x14ac:dyDescent="0.3"/>
    <row r="37" spans="2:17" ht="20.25" x14ac:dyDescent="0.3">
      <c r="B37" s="13" t="s">
        <v>52</v>
      </c>
    </row>
    <row r="39" spans="2:17" x14ac:dyDescent="0.25">
      <c r="B39" s="15"/>
      <c r="C39" s="16"/>
      <c r="D39" s="16"/>
      <c r="E39" s="16"/>
      <c r="F39" s="16"/>
      <c r="G39" s="17"/>
      <c r="N39" s="15"/>
      <c r="O39" s="16"/>
      <c r="P39" s="16"/>
      <c r="Q39" s="17"/>
    </row>
    <row r="40" spans="2:17" x14ac:dyDescent="0.25">
      <c r="B40" s="18"/>
      <c r="C40" s="27" t="s">
        <v>53</v>
      </c>
      <c r="D40" s="28">
        <f>E16</f>
        <v>0.10020630710285881</v>
      </c>
      <c r="E40" s="26" t="s">
        <v>10</v>
      </c>
      <c r="F40" s="20"/>
      <c r="G40" s="19"/>
      <c r="N40" s="18"/>
      <c r="O40" s="24" t="s">
        <v>63</v>
      </c>
      <c r="P40" s="20"/>
      <c r="Q40" s="19"/>
    </row>
    <row r="41" spans="2:17" x14ac:dyDescent="0.25">
      <c r="B41" s="18"/>
      <c r="C41" s="27" t="s">
        <v>54</v>
      </c>
      <c r="D41" s="40">
        <v>1</v>
      </c>
      <c r="E41" s="26" t="s">
        <v>58</v>
      </c>
      <c r="F41" s="20"/>
      <c r="G41" s="19"/>
      <c r="N41" s="18"/>
      <c r="O41" s="1"/>
      <c r="P41" s="12"/>
      <c r="Q41" s="19"/>
    </row>
    <row r="42" spans="2:17" ht="18.75" thickBot="1" x14ac:dyDescent="0.4">
      <c r="B42" s="18"/>
      <c r="C42" s="27" t="s">
        <v>55</v>
      </c>
      <c r="D42" s="40">
        <v>1</v>
      </c>
      <c r="E42" s="26" t="str">
        <f>"-"</f>
        <v>-</v>
      </c>
      <c r="F42" s="20"/>
      <c r="G42" s="19"/>
      <c r="N42" s="18"/>
      <c r="O42" s="29" t="s">
        <v>62</v>
      </c>
      <c r="P42" s="30" t="s">
        <v>65</v>
      </c>
      <c r="Q42" s="19"/>
    </row>
    <row r="43" spans="2:17" x14ac:dyDescent="0.25">
      <c r="B43" s="18"/>
      <c r="C43" s="27" t="s">
        <v>56</v>
      </c>
      <c r="D43" s="44">
        <v>92</v>
      </c>
      <c r="E43" s="26" t="s">
        <v>59</v>
      </c>
      <c r="F43" s="20"/>
      <c r="G43" s="19"/>
      <c r="N43" s="18"/>
      <c r="O43" s="27" t="s">
        <v>17</v>
      </c>
      <c r="P43" s="35">
        <v>1</v>
      </c>
      <c r="Q43" s="19"/>
    </row>
    <row r="44" spans="2:17" x14ac:dyDescent="0.25">
      <c r="B44" s="18"/>
      <c r="C44" s="20"/>
      <c r="D44" s="20"/>
      <c r="E44" s="20"/>
      <c r="F44" s="20"/>
      <c r="G44" s="19"/>
      <c r="N44" s="18"/>
      <c r="O44" s="27" t="s">
        <v>66</v>
      </c>
      <c r="P44" s="35">
        <v>0.6</v>
      </c>
      <c r="Q44" s="19"/>
    </row>
    <row r="45" spans="2:17" ht="18" x14ac:dyDescent="0.25">
      <c r="B45" s="18"/>
      <c r="C45" s="11" t="s">
        <v>57</v>
      </c>
      <c r="D45" s="9">
        <f>E16*D42*D43</f>
        <v>9.2189802534630108</v>
      </c>
      <c r="E45" s="43" t="s">
        <v>60</v>
      </c>
      <c r="F45" s="20"/>
      <c r="G45" s="19"/>
      <c r="N45" s="21"/>
      <c r="O45" s="22"/>
      <c r="P45" s="22"/>
      <c r="Q45" s="23"/>
    </row>
    <row r="46" spans="2:17" x14ac:dyDescent="0.25">
      <c r="B46" s="21"/>
      <c r="C46" s="22"/>
      <c r="D46" s="22"/>
      <c r="E46" s="22"/>
      <c r="F46" s="22"/>
      <c r="G46" s="23"/>
    </row>
    <row r="47" spans="2:17" x14ac:dyDescent="0.25">
      <c r="N47" s="15"/>
      <c r="O47" s="16"/>
      <c r="P47" s="16"/>
      <c r="Q47" s="17"/>
    </row>
    <row r="48" spans="2:17" x14ac:dyDescent="0.25">
      <c r="N48" s="18"/>
      <c r="O48" s="24" t="s">
        <v>69</v>
      </c>
      <c r="P48" s="20"/>
      <c r="Q48" s="19"/>
    </row>
    <row r="49" spans="2:17" x14ac:dyDescent="0.25">
      <c r="B49" s="14" t="s">
        <v>33</v>
      </c>
      <c r="N49" s="18"/>
      <c r="O49" s="1"/>
      <c r="P49" s="12"/>
      <c r="Q49" s="19"/>
    </row>
    <row r="50" spans="2:17" ht="15.75" thickBot="1" x14ac:dyDescent="0.3">
      <c r="B50" t="s">
        <v>34</v>
      </c>
      <c r="C50" t="s">
        <v>61</v>
      </c>
      <c r="N50" s="18"/>
      <c r="O50" s="29" t="s">
        <v>68</v>
      </c>
      <c r="P50" s="30" t="s">
        <v>70</v>
      </c>
      <c r="Q50" s="19"/>
    </row>
    <row r="51" spans="2:17" x14ac:dyDescent="0.25">
      <c r="B51" t="s">
        <v>35</v>
      </c>
      <c r="C51" t="s">
        <v>64</v>
      </c>
      <c r="N51" s="18"/>
      <c r="O51" s="27" t="s">
        <v>67</v>
      </c>
      <c r="P51" s="46">
        <v>79</v>
      </c>
      <c r="Q51" s="19"/>
    </row>
    <row r="52" spans="2:17" x14ac:dyDescent="0.25">
      <c r="N52" s="18"/>
      <c r="O52" s="27" t="s">
        <v>71</v>
      </c>
      <c r="P52" s="46">
        <v>70</v>
      </c>
      <c r="Q52" s="19"/>
    </row>
    <row r="53" spans="2:17" x14ac:dyDescent="0.25">
      <c r="N53" s="18"/>
      <c r="O53" s="27" t="s">
        <v>74</v>
      </c>
      <c r="P53" s="46">
        <v>80</v>
      </c>
      <c r="Q53" s="19"/>
    </row>
    <row r="54" spans="2:17" x14ac:dyDescent="0.25">
      <c r="N54" s="18"/>
      <c r="O54" s="27" t="s">
        <v>72</v>
      </c>
      <c r="P54" s="46">
        <v>100</v>
      </c>
      <c r="Q54" s="19"/>
    </row>
    <row r="55" spans="2:17" x14ac:dyDescent="0.25">
      <c r="N55" s="18"/>
      <c r="O55" s="27" t="s">
        <v>73</v>
      </c>
      <c r="P55" s="46">
        <v>30</v>
      </c>
      <c r="Q55" s="19"/>
    </row>
    <row r="56" spans="2:17" x14ac:dyDescent="0.25">
      <c r="N56" s="18"/>
      <c r="O56" s="27" t="s">
        <v>75</v>
      </c>
      <c r="P56" s="46">
        <v>149</v>
      </c>
      <c r="Q56" s="19"/>
    </row>
    <row r="57" spans="2:17" x14ac:dyDescent="0.25">
      <c r="N57" s="21"/>
      <c r="O57" s="22"/>
      <c r="P57" s="22"/>
      <c r="Q57" s="23"/>
    </row>
    <row r="60" spans="2:17" ht="15.75" thickBot="1" x14ac:dyDescent="0.3"/>
    <row r="61" spans="2:17" ht="20.25" x14ac:dyDescent="0.3">
      <c r="B61" s="13" t="s">
        <v>80</v>
      </c>
      <c r="N61" s="15"/>
      <c r="O61" s="16"/>
      <c r="P61" s="16"/>
      <c r="Q61" s="17"/>
    </row>
    <row r="62" spans="2:17" x14ac:dyDescent="0.25">
      <c r="N62" s="18"/>
      <c r="O62" s="24" t="s">
        <v>81</v>
      </c>
      <c r="P62" s="20"/>
      <c r="Q62" s="19"/>
    </row>
    <row r="63" spans="2:17" x14ac:dyDescent="0.25">
      <c r="B63" t="s">
        <v>91</v>
      </c>
      <c r="D63" s="41">
        <v>0.7</v>
      </c>
      <c r="E63" t="s">
        <v>83</v>
      </c>
      <c r="N63" s="18"/>
      <c r="O63" s="1"/>
      <c r="P63" s="12"/>
      <c r="Q63" s="19"/>
    </row>
    <row r="64" spans="2:17" ht="15.75" thickBot="1" x14ac:dyDescent="0.3">
      <c r="B64" t="s">
        <v>92</v>
      </c>
      <c r="D64" s="51">
        <f>D63+P65</f>
        <v>1.35</v>
      </c>
      <c r="E64" t="s">
        <v>83</v>
      </c>
      <c r="N64" s="18"/>
      <c r="O64" s="29" t="s">
        <v>82</v>
      </c>
      <c r="P64" s="30" t="s">
        <v>83</v>
      </c>
      <c r="Q64" s="19"/>
    </row>
    <row r="65" spans="2:17" ht="18" x14ac:dyDescent="0.35">
      <c r="B65" t="s">
        <v>101</v>
      </c>
      <c r="D65" s="7">
        <v>50</v>
      </c>
      <c r="E65" t="s">
        <v>93</v>
      </c>
      <c r="N65" s="18"/>
      <c r="O65" s="27" t="s">
        <v>84</v>
      </c>
      <c r="P65" s="48">
        <v>0.65</v>
      </c>
      <c r="Q65" s="19"/>
    </row>
    <row r="66" spans="2:17" x14ac:dyDescent="0.25">
      <c r="B66" t="s">
        <v>106</v>
      </c>
      <c r="D66" s="41">
        <v>0.1</v>
      </c>
      <c r="E66" t="s">
        <v>95</v>
      </c>
      <c r="N66" s="18"/>
      <c r="O66" s="27" t="s">
        <v>85</v>
      </c>
      <c r="P66" s="48">
        <v>0.70125000000000004</v>
      </c>
      <c r="Q66" s="19"/>
    </row>
    <row r="67" spans="2:17" x14ac:dyDescent="0.25">
      <c r="B67" t="s">
        <v>94</v>
      </c>
      <c r="D67" s="52">
        <v>0.02</v>
      </c>
      <c r="N67" s="18"/>
      <c r="O67" s="27" t="s">
        <v>86</v>
      </c>
      <c r="P67" s="48">
        <v>0.73891666666666656</v>
      </c>
      <c r="Q67" s="19"/>
    </row>
    <row r="68" spans="2:17" ht="18" x14ac:dyDescent="0.35">
      <c r="B68" t="s">
        <v>113</v>
      </c>
      <c r="D68" s="7">
        <v>92</v>
      </c>
      <c r="E68" t="s">
        <v>59</v>
      </c>
      <c r="N68" s="18"/>
      <c r="O68" s="27" t="s">
        <v>87</v>
      </c>
      <c r="P68" s="48">
        <v>0.8141250000000001</v>
      </c>
      <c r="Q68" s="19"/>
    </row>
    <row r="69" spans="2:17" ht="18" x14ac:dyDescent="0.35">
      <c r="B69" t="s">
        <v>112</v>
      </c>
      <c r="D69" s="60">
        <f>(1-(1+D67)^-D65)/D67</f>
        <v>31.423605893651906</v>
      </c>
      <c r="N69" s="18"/>
      <c r="O69" s="27" t="s">
        <v>88</v>
      </c>
      <c r="P69" s="48">
        <v>3.6791249999999995</v>
      </c>
      <c r="Q69" s="19"/>
    </row>
    <row r="70" spans="2:17" x14ac:dyDescent="0.25">
      <c r="N70" s="18"/>
      <c r="O70" s="27" t="s">
        <v>89</v>
      </c>
      <c r="P70" s="48">
        <v>1.43</v>
      </c>
      <c r="Q70" s="19"/>
    </row>
    <row r="71" spans="2:17" x14ac:dyDescent="0.25">
      <c r="N71" s="18"/>
      <c r="O71" s="27" t="s">
        <v>90</v>
      </c>
      <c r="P71" s="48">
        <v>2.9159999999999995</v>
      </c>
      <c r="Q71" s="19"/>
    </row>
    <row r="72" spans="2:17" x14ac:dyDescent="0.25">
      <c r="N72" s="21"/>
      <c r="O72" s="50"/>
      <c r="P72" s="49"/>
      <c r="Q72" s="23"/>
    </row>
    <row r="76" spans="2:17" ht="18" x14ac:dyDescent="0.35">
      <c r="C76" s="59" t="s">
        <v>96</v>
      </c>
      <c r="D76" s="59" t="s">
        <v>53</v>
      </c>
      <c r="E76" s="59" t="s">
        <v>99</v>
      </c>
      <c r="F76" s="59"/>
      <c r="G76" s="402" t="s">
        <v>100</v>
      </c>
      <c r="H76" s="402"/>
      <c r="I76" s="402" t="s">
        <v>105</v>
      </c>
      <c r="J76" s="402"/>
    </row>
    <row r="77" spans="2:17" ht="15.75" thickBot="1" x14ac:dyDescent="0.3">
      <c r="C77" s="58" t="s">
        <v>97</v>
      </c>
      <c r="D77" s="58" t="s">
        <v>10</v>
      </c>
      <c r="E77" s="58" t="s">
        <v>98</v>
      </c>
      <c r="F77" s="58"/>
      <c r="G77" s="403" t="s">
        <v>98</v>
      </c>
      <c r="H77" s="403"/>
      <c r="I77" s="403" t="s">
        <v>98</v>
      </c>
      <c r="J77" s="403"/>
    </row>
    <row r="78" spans="2:17" x14ac:dyDescent="0.25">
      <c r="C78" s="55">
        <v>30</v>
      </c>
      <c r="D78" s="56">
        <v>1.02</v>
      </c>
      <c r="E78" s="57">
        <f>C78/10*$D$64</f>
        <v>4.0500000000000007</v>
      </c>
      <c r="F78" s="37"/>
      <c r="G78" s="400">
        <f>D78*$D$66*$D$68*$D$69</f>
        <v>294.87911770602949</v>
      </c>
      <c r="H78" s="401"/>
      <c r="I78" s="400">
        <f t="shared" ref="I78:I90" si="1">G78+E78</f>
        <v>298.9291177060295</v>
      </c>
      <c r="J78" s="401"/>
    </row>
    <row r="79" spans="2:17" x14ac:dyDescent="0.25">
      <c r="C79" s="26">
        <v>60</v>
      </c>
      <c r="D79" s="53">
        <v>0.57999999999999996</v>
      </c>
      <c r="E79" s="54">
        <f t="shared" ref="E79:E90" si="2">C79/10*$D$64</f>
        <v>8.1000000000000014</v>
      </c>
      <c r="F79" s="27"/>
      <c r="G79" s="400">
        <f t="shared" ref="G79:G90" si="3">D79*$D$66*$D$68*$D$69</f>
        <v>167.67636104852656</v>
      </c>
      <c r="H79" s="401"/>
      <c r="I79" s="400">
        <f t="shared" si="1"/>
        <v>175.77636104852655</v>
      </c>
      <c r="J79" s="401"/>
    </row>
    <row r="80" spans="2:17" x14ac:dyDescent="0.25">
      <c r="C80" s="26">
        <v>90</v>
      </c>
      <c r="D80" s="53">
        <v>0.4</v>
      </c>
      <c r="E80" s="54">
        <f t="shared" si="2"/>
        <v>12.15</v>
      </c>
      <c r="F80" s="27"/>
      <c r="G80" s="400">
        <f t="shared" si="3"/>
        <v>115.63886968863903</v>
      </c>
      <c r="H80" s="401"/>
      <c r="I80" s="400">
        <f t="shared" si="1"/>
        <v>127.78886968863904</v>
      </c>
      <c r="J80" s="401"/>
    </row>
    <row r="81" spans="2:10" x14ac:dyDescent="0.25">
      <c r="C81" s="26">
        <v>120</v>
      </c>
      <c r="D81" s="53">
        <v>0.31</v>
      </c>
      <c r="E81" s="54">
        <f t="shared" si="2"/>
        <v>16.200000000000003</v>
      </c>
      <c r="F81" s="27"/>
      <c r="G81" s="400">
        <f t="shared" si="3"/>
        <v>89.620124008695228</v>
      </c>
      <c r="H81" s="401"/>
      <c r="I81" s="400">
        <f t="shared" si="1"/>
        <v>105.82012400869523</v>
      </c>
      <c r="J81" s="401"/>
    </row>
    <row r="82" spans="2:10" x14ac:dyDescent="0.25">
      <c r="C82" s="26">
        <v>150</v>
      </c>
      <c r="D82" s="53">
        <v>0.25</v>
      </c>
      <c r="E82" s="54">
        <f t="shared" si="2"/>
        <v>20.25</v>
      </c>
      <c r="F82" s="27"/>
      <c r="G82" s="400">
        <f t="shared" si="3"/>
        <v>72.274293555399396</v>
      </c>
      <c r="H82" s="401"/>
      <c r="I82" s="400">
        <f t="shared" si="1"/>
        <v>92.524293555399396</v>
      </c>
      <c r="J82" s="401"/>
    </row>
    <row r="83" spans="2:10" x14ac:dyDescent="0.25">
      <c r="C83" s="26">
        <v>180</v>
      </c>
      <c r="D83" s="53">
        <v>0.21</v>
      </c>
      <c r="E83" s="54">
        <f t="shared" si="2"/>
        <v>24.3</v>
      </c>
      <c r="F83" s="27"/>
      <c r="G83" s="400">
        <f t="shared" si="3"/>
        <v>60.710406586535491</v>
      </c>
      <c r="H83" s="401"/>
      <c r="I83" s="400">
        <f t="shared" si="1"/>
        <v>85.010406586535495</v>
      </c>
      <c r="J83" s="401"/>
    </row>
    <row r="84" spans="2:10" x14ac:dyDescent="0.25">
      <c r="C84" s="26">
        <v>210</v>
      </c>
      <c r="D84" s="53">
        <v>0.18</v>
      </c>
      <c r="E84" s="54">
        <f t="shared" si="2"/>
        <v>28.35</v>
      </c>
      <c r="F84" s="27"/>
      <c r="G84" s="400">
        <f t="shared" si="3"/>
        <v>52.037491359887554</v>
      </c>
      <c r="H84" s="401"/>
      <c r="I84" s="400">
        <f t="shared" si="1"/>
        <v>80.387491359887548</v>
      </c>
      <c r="J84" s="401"/>
    </row>
    <row r="85" spans="2:10" x14ac:dyDescent="0.25">
      <c r="C85" s="26">
        <v>240</v>
      </c>
      <c r="D85" s="53">
        <v>0.16</v>
      </c>
      <c r="E85" s="54">
        <f t="shared" si="2"/>
        <v>32.400000000000006</v>
      </c>
      <c r="F85" s="27"/>
      <c r="G85" s="400">
        <f t="shared" si="3"/>
        <v>46.255547875455605</v>
      </c>
      <c r="H85" s="401"/>
      <c r="I85" s="400">
        <f t="shared" si="1"/>
        <v>78.655547875455611</v>
      </c>
      <c r="J85" s="401"/>
    </row>
    <row r="86" spans="2:10" x14ac:dyDescent="0.25">
      <c r="C86" s="26">
        <v>270</v>
      </c>
      <c r="D86" s="53">
        <v>0.14000000000000001</v>
      </c>
      <c r="E86" s="54">
        <f t="shared" si="2"/>
        <v>36.450000000000003</v>
      </c>
      <c r="F86" s="27"/>
      <c r="G86" s="400">
        <f t="shared" si="3"/>
        <v>40.473604391023663</v>
      </c>
      <c r="H86" s="401"/>
      <c r="I86" s="400">
        <f t="shared" si="1"/>
        <v>76.923604391023673</v>
      </c>
      <c r="J86" s="401"/>
    </row>
    <row r="87" spans="2:10" x14ac:dyDescent="0.25">
      <c r="C87" s="26">
        <v>300</v>
      </c>
      <c r="D87" s="53">
        <v>0.13</v>
      </c>
      <c r="E87" s="54">
        <f t="shared" si="2"/>
        <v>40.5</v>
      </c>
      <c r="F87" s="27"/>
      <c r="G87" s="400">
        <f t="shared" si="3"/>
        <v>37.582632648807689</v>
      </c>
      <c r="H87" s="401"/>
      <c r="I87" s="400">
        <f t="shared" si="1"/>
        <v>78.082632648807689</v>
      </c>
      <c r="J87" s="401"/>
    </row>
    <row r="88" spans="2:10" x14ac:dyDescent="0.25">
      <c r="C88" s="26">
        <v>330</v>
      </c>
      <c r="D88" s="53">
        <v>0.12</v>
      </c>
      <c r="E88" s="54">
        <f t="shared" si="2"/>
        <v>44.550000000000004</v>
      </c>
      <c r="F88" s="27"/>
      <c r="G88" s="400">
        <f t="shared" si="3"/>
        <v>34.691660906591707</v>
      </c>
      <c r="H88" s="401"/>
      <c r="I88" s="400">
        <f t="shared" si="1"/>
        <v>79.241660906591704</v>
      </c>
      <c r="J88" s="401"/>
    </row>
    <row r="89" spans="2:10" x14ac:dyDescent="0.25">
      <c r="C89" s="26">
        <v>360</v>
      </c>
      <c r="D89" s="53">
        <v>0.11</v>
      </c>
      <c r="E89" s="54">
        <f t="shared" si="2"/>
        <v>48.6</v>
      </c>
      <c r="F89" s="27"/>
      <c r="G89" s="400">
        <f t="shared" si="3"/>
        <v>31.800689164375729</v>
      </c>
      <c r="H89" s="401"/>
      <c r="I89" s="400">
        <f t="shared" si="1"/>
        <v>80.400689164375734</v>
      </c>
      <c r="J89" s="401"/>
    </row>
    <row r="90" spans="2:10" x14ac:dyDescent="0.25">
      <c r="C90" s="26">
        <v>390</v>
      </c>
      <c r="D90" s="53">
        <v>0.1</v>
      </c>
      <c r="E90" s="54">
        <f t="shared" si="2"/>
        <v>52.650000000000006</v>
      </c>
      <c r="F90" s="27"/>
      <c r="G90" s="400">
        <f t="shared" si="3"/>
        <v>28.909717422159758</v>
      </c>
      <c r="H90" s="401"/>
      <c r="I90" s="400">
        <f t="shared" si="1"/>
        <v>81.559717422159764</v>
      </c>
      <c r="J90" s="401"/>
    </row>
    <row r="92" spans="2:10" x14ac:dyDescent="0.25">
      <c r="B92" s="14" t="s">
        <v>33</v>
      </c>
    </row>
    <row r="93" spans="2:10" x14ac:dyDescent="0.25">
      <c r="B93" t="s">
        <v>34</v>
      </c>
      <c r="C93" t="s">
        <v>107</v>
      </c>
    </row>
    <row r="94" spans="2:10" ht="18" x14ac:dyDescent="0.35">
      <c r="B94" t="s">
        <v>35</v>
      </c>
      <c r="C94" t="s">
        <v>108</v>
      </c>
    </row>
    <row r="95" spans="2:10" x14ac:dyDescent="0.25">
      <c r="B95" t="s">
        <v>37</v>
      </c>
      <c r="C95" t="s">
        <v>109</v>
      </c>
    </row>
    <row r="96" spans="2:10" x14ac:dyDescent="0.25">
      <c r="B96" t="s">
        <v>44</v>
      </c>
      <c r="C96" t="s">
        <v>110</v>
      </c>
    </row>
    <row r="97" spans="2:3" x14ac:dyDescent="0.25">
      <c r="B97" t="s">
        <v>48</v>
      </c>
      <c r="C97" t="s">
        <v>111</v>
      </c>
    </row>
  </sheetData>
  <mergeCells count="30">
    <mergeCell ref="I85:J85"/>
    <mergeCell ref="I86:J86"/>
    <mergeCell ref="I87:J87"/>
    <mergeCell ref="G88:H88"/>
    <mergeCell ref="G89:H89"/>
    <mergeCell ref="G90:H90"/>
    <mergeCell ref="I88:J88"/>
    <mergeCell ref="I89:J89"/>
    <mergeCell ref="I90:J90"/>
    <mergeCell ref="I79:J79"/>
    <mergeCell ref="I80:J80"/>
    <mergeCell ref="I81:J81"/>
    <mergeCell ref="I82:J82"/>
    <mergeCell ref="I83:J83"/>
    <mergeCell ref="I84:J84"/>
    <mergeCell ref="G83:H83"/>
    <mergeCell ref="G84:H84"/>
    <mergeCell ref="G85:H85"/>
    <mergeCell ref="G86:H86"/>
    <mergeCell ref="G87:H87"/>
    <mergeCell ref="G79:H79"/>
    <mergeCell ref="G80:H80"/>
    <mergeCell ref="G81:H81"/>
    <mergeCell ref="G82:H82"/>
    <mergeCell ref="I76:J76"/>
    <mergeCell ref="I77:J77"/>
    <mergeCell ref="I78:J78"/>
    <mergeCell ref="G76:H76"/>
    <mergeCell ref="G77:H77"/>
    <mergeCell ref="G78:H78"/>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I46"/>
  <sheetViews>
    <sheetView showGridLines="0" workbookViewId="0">
      <selection activeCell="E37" sqref="E37"/>
    </sheetView>
  </sheetViews>
  <sheetFormatPr defaultColWidth="11.42578125" defaultRowHeight="15" x14ac:dyDescent="0.25"/>
  <cols>
    <col min="1" max="4" width="3.7109375" customWidth="1"/>
    <col min="5" max="5" width="27" customWidth="1"/>
    <col min="6" max="6" width="2.7109375" customWidth="1"/>
    <col min="7" max="7" width="71.140625" customWidth="1"/>
    <col min="9" max="9" width="4.140625" customWidth="1"/>
  </cols>
  <sheetData>
    <row r="1" spans="2:9" ht="15.75" thickBot="1" x14ac:dyDescent="0.3">
      <c r="B1" s="351"/>
      <c r="C1" s="351"/>
      <c r="D1" s="351"/>
      <c r="E1" s="351"/>
      <c r="F1" s="351"/>
      <c r="G1" s="351"/>
      <c r="H1" s="351"/>
      <c r="I1" s="351"/>
    </row>
    <row r="2" spans="2:9" s="350" customFormat="1" ht="51" customHeight="1" thickTop="1" thickBot="1" x14ac:dyDescent="0.3">
      <c r="B2" s="355" t="s">
        <v>1055</v>
      </c>
      <c r="C2" s="353"/>
      <c r="D2" s="353"/>
      <c r="E2" s="353"/>
      <c r="F2" s="353"/>
      <c r="G2" s="353"/>
      <c r="H2" s="353"/>
      <c r="I2" s="353"/>
    </row>
    <row r="3" spans="2:9" ht="28.5" customHeight="1" thickTop="1" x14ac:dyDescent="0.25">
      <c r="I3" s="356" t="str">
        <f>Balance!S3</f>
        <v>outPHit Manufacturing-Energy-Tool v. 1.0</v>
      </c>
    </row>
    <row r="4" spans="2:9" x14ac:dyDescent="0.25">
      <c r="C4" s="14" t="s">
        <v>1056</v>
      </c>
    </row>
    <row r="5" spans="2:9" ht="18" customHeight="1" x14ac:dyDescent="0.25">
      <c r="C5" s="375" t="s">
        <v>1089</v>
      </c>
      <c r="D5" s="405" t="s">
        <v>1057</v>
      </c>
      <c r="E5" s="405"/>
      <c r="F5" s="405"/>
      <c r="G5" s="405"/>
      <c r="H5" s="405"/>
    </row>
    <row r="6" spans="2:9" ht="18" customHeight="1" x14ac:dyDescent="0.25">
      <c r="C6" s="375" t="s">
        <v>1089</v>
      </c>
      <c r="D6" s="405" t="s">
        <v>1058</v>
      </c>
      <c r="E6" s="405"/>
      <c r="F6" s="405"/>
      <c r="G6" s="405"/>
      <c r="H6" s="405"/>
    </row>
    <row r="7" spans="2:9" ht="18" customHeight="1" x14ac:dyDescent="0.25">
      <c r="C7" s="375" t="s">
        <v>1089</v>
      </c>
      <c r="D7" s="405" t="s">
        <v>1059</v>
      </c>
      <c r="E7" s="405"/>
      <c r="F7" s="405"/>
      <c r="G7" s="405"/>
      <c r="H7" s="405"/>
    </row>
    <row r="8" spans="2:9" ht="18" customHeight="1" x14ac:dyDescent="0.25">
      <c r="C8" s="375" t="s">
        <v>1089</v>
      </c>
      <c r="D8" s="405" t="s">
        <v>1060</v>
      </c>
      <c r="E8" s="405"/>
      <c r="F8" s="405"/>
      <c r="G8" s="405"/>
      <c r="H8" s="405"/>
    </row>
    <row r="10" spans="2:9" x14ac:dyDescent="0.25">
      <c r="C10" s="14" t="s">
        <v>1061</v>
      </c>
    </row>
    <row r="11" spans="2:9" ht="34.5" customHeight="1" x14ac:dyDescent="0.25">
      <c r="C11" s="375" t="s">
        <v>1089</v>
      </c>
      <c r="D11" s="405" t="s">
        <v>1063</v>
      </c>
      <c r="E11" s="405"/>
      <c r="F11" s="405"/>
      <c r="G11" s="405"/>
      <c r="H11" s="405"/>
    </row>
    <row r="12" spans="2:9" ht="18" customHeight="1" x14ac:dyDescent="0.25">
      <c r="C12" s="375" t="s">
        <v>1089</v>
      </c>
      <c r="D12" s="405" t="s">
        <v>1064</v>
      </c>
      <c r="E12" s="405"/>
      <c r="F12" s="405"/>
      <c r="G12" s="405"/>
      <c r="H12" s="405"/>
    </row>
    <row r="13" spans="2:9" ht="18" customHeight="1" x14ac:dyDescent="0.25">
      <c r="C13" s="375" t="s">
        <v>1089</v>
      </c>
      <c r="D13" s="405" t="s">
        <v>1065</v>
      </c>
      <c r="E13" s="405"/>
      <c r="F13" s="405"/>
      <c r="G13" s="405"/>
      <c r="H13" s="405"/>
    </row>
    <row r="14" spans="2:9" x14ac:dyDescent="0.25">
      <c r="D14" s="375" t="s">
        <v>1090</v>
      </c>
      <c r="E14" s="405" t="s">
        <v>1066</v>
      </c>
      <c r="F14" s="405"/>
      <c r="G14" s="405"/>
      <c r="H14" s="405"/>
    </row>
    <row r="15" spans="2:9" x14ac:dyDescent="0.25">
      <c r="D15" s="375" t="s">
        <v>1090</v>
      </c>
      <c r="E15" s="405" t="s">
        <v>1067</v>
      </c>
      <c r="F15" s="405"/>
      <c r="G15" s="405"/>
      <c r="H15" s="405"/>
    </row>
    <row r="16" spans="2:9" ht="18" customHeight="1" x14ac:dyDescent="0.25">
      <c r="C16" s="375" t="s">
        <v>1089</v>
      </c>
      <c r="D16" s="405" t="s">
        <v>1068</v>
      </c>
      <c r="E16" s="405"/>
      <c r="F16" s="405"/>
      <c r="G16" s="405"/>
      <c r="H16" s="405"/>
    </row>
    <row r="17" spans="3:8" ht="30.75" customHeight="1" x14ac:dyDescent="0.25">
      <c r="D17" s="375" t="s">
        <v>1090</v>
      </c>
      <c r="E17" s="405" t="s">
        <v>1069</v>
      </c>
      <c r="F17" s="405"/>
      <c r="G17" s="405"/>
      <c r="H17" s="405"/>
    </row>
    <row r="18" spans="3:8" ht="30" customHeight="1" x14ac:dyDescent="0.25">
      <c r="D18" s="375" t="s">
        <v>1090</v>
      </c>
      <c r="E18" s="405" t="s">
        <v>1070</v>
      </c>
      <c r="F18" s="405"/>
      <c r="G18" s="405"/>
      <c r="H18" s="405"/>
    </row>
    <row r="19" spans="3:8" ht="18" customHeight="1" x14ac:dyDescent="0.25">
      <c r="C19" s="375" t="s">
        <v>1089</v>
      </c>
      <c r="D19" s="405" t="s">
        <v>1071</v>
      </c>
      <c r="E19" s="405" t="s">
        <v>1071</v>
      </c>
      <c r="F19" s="405"/>
      <c r="G19" s="405"/>
      <c r="H19" s="405"/>
    </row>
    <row r="20" spans="3:8" x14ac:dyDescent="0.25">
      <c r="D20" s="375" t="s">
        <v>1090</v>
      </c>
      <c r="E20" s="405" t="s">
        <v>1072</v>
      </c>
      <c r="F20" s="405"/>
      <c r="G20" s="405"/>
      <c r="H20" s="405"/>
    </row>
    <row r="21" spans="3:8" x14ac:dyDescent="0.25">
      <c r="D21" s="375" t="s">
        <v>1090</v>
      </c>
      <c r="E21" s="405" t="s">
        <v>1073</v>
      </c>
      <c r="F21" s="405"/>
      <c r="G21" s="405"/>
      <c r="H21" s="405"/>
    </row>
    <row r="22" spans="3:8" ht="45" customHeight="1" x14ac:dyDescent="0.25">
      <c r="D22" s="375" t="s">
        <v>1090</v>
      </c>
      <c r="E22" s="405" t="s">
        <v>1074</v>
      </c>
      <c r="F22" s="405"/>
      <c r="G22" s="405"/>
      <c r="H22" s="405"/>
    </row>
    <row r="23" spans="3:8" x14ac:dyDescent="0.25">
      <c r="D23" s="375" t="s">
        <v>1090</v>
      </c>
      <c r="E23" s="405" t="s">
        <v>1075</v>
      </c>
      <c r="F23" s="405"/>
      <c r="G23" s="405"/>
      <c r="H23" s="405"/>
    </row>
    <row r="24" spans="3:8" x14ac:dyDescent="0.25">
      <c r="D24" s="375" t="s">
        <v>1090</v>
      </c>
      <c r="E24" s="405" t="s">
        <v>1076</v>
      </c>
      <c r="F24" s="405"/>
      <c r="G24" s="405"/>
      <c r="H24" s="405"/>
    </row>
    <row r="25" spans="3:8" x14ac:dyDescent="0.25">
      <c r="D25" s="375" t="s">
        <v>1090</v>
      </c>
      <c r="E25" s="405" t="s">
        <v>1077</v>
      </c>
      <c r="F25" s="405"/>
      <c r="G25" s="405"/>
      <c r="H25" s="405"/>
    </row>
    <row r="26" spans="3:8" ht="30" customHeight="1" x14ac:dyDescent="0.25">
      <c r="D26" s="375" t="s">
        <v>1090</v>
      </c>
      <c r="E26" s="405" t="s">
        <v>1078</v>
      </c>
      <c r="F26" s="405"/>
      <c r="G26" s="405"/>
      <c r="H26" s="405"/>
    </row>
    <row r="27" spans="3:8" x14ac:dyDescent="0.25">
      <c r="D27" s="375" t="s">
        <v>1090</v>
      </c>
      <c r="E27" s="405" t="s">
        <v>1079</v>
      </c>
      <c r="F27" s="405"/>
      <c r="G27" s="405"/>
      <c r="H27" s="405"/>
    </row>
    <row r="28" spans="3:8" x14ac:dyDescent="0.25">
      <c r="D28" s="375" t="s">
        <v>1090</v>
      </c>
      <c r="E28" s="405" t="s">
        <v>1080</v>
      </c>
      <c r="F28" s="405"/>
      <c r="G28" s="405"/>
      <c r="H28" s="405"/>
    </row>
    <row r="29" spans="3:8" ht="44.25" customHeight="1" x14ac:dyDescent="0.25">
      <c r="D29" s="375" t="s">
        <v>1090</v>
      </c>
      <c r="E29" s="405" t="s">
        <v>1062</v>
      </c>
      <c r="F29" s="405"/>
      <c r="G29" s="405"/>
      <c r="H29" s="405"/>
    </row>
    <row r="32" spans="3:8" ht="15.75" x14ac:dyDescent="0.25">
      <c r="E32" s="367" t="s">
        <v>1081</v>
      </c>
      <c r="G32" s="367" t="s">
        <v>1082</v>
      </c>
    </row>
    <row r="33" spans="2:9" ht="16.5" x14ac:dyDescent="0.25">
      <c r="E33" s="370">
        <v>78.8</v>
      </c>
      <c r="G33" s="374" t="s">
        <v>1083</v>
      </c>
    </row>
    <row r="34" spans="2:9" ht="16.5" x14ac:dyDescent="0.25">
      <c r="E34" s="373" t="s">
        <v>1088</v>
      </c>
      <c r="G34" s="373" t="s">
        <v>1084</v>
      </c>
    </row>
    <row r="35" spans="2:9" x14ac:dyDescent="0.25">
      <c r="E35" s="365">
        <v>6619.2</v>
      </c>
      <c r="G35" s="368" t="s">
        <v>1085</v>
      </c>
    </row>
    <row r="36" spans="2:9" ht="15.75" thickBot="1" x14ac:dyDescent="0.3">
      <c r="E36" s="371">
        <v>78.8</v>
      </c>
      <c r="G36" s="372" t="s">
        <v>1086</v>
      </c>
    </row>
    <row r="37" spans="2:9" ht="19.5" thickTop="1" thickBot="1" x14ac:dyDescent="0.3">
      <c r="E37" s="366">
        <v>126</v>
      </c>
      <c r="G37" s="369" t="s">
        <v>1087</v>
      </c>
    </row>
    <row r="38" spans="2:9" ht="15.75" thickTop="1" x14ac:dyDescent="0.25"/>
    <row r="39" spans="2:9" ht="15.75" thickBot="1" x14ac:dyDescent="0.3">
      <c r="B39" s="351"/>
      <c r="C39" s="351"/>
      <c r="D39" s="351"/>
      <c r="E39" s="351"/>
      <c r="F39" s="351"/>
      <c r="G39" s="351"/>
      <c r="H39" s="351"/>
      <c r="I39" s="351"/>
    </row>
    <row r="40" spans="2:9" ht="15.75" thickTop="1" x14ac:dyDescent="0.25">
      <c r="C40" s="376" t="s">
        <v>1091</v>
      </c>
    </row>
    <row r="41" spans="2:9" ht="40.5" customHeight="1" x14ac:dyDescent="0.25">
      <c r="C41" s="404" t="s">
        <v>1092</v>
      </c>
      <c r="D41" s="404"/>
      <c r="E41" s="404"/>
      <c r="F41" s="404"/>
      <c r="G41" s="404"/>
      <c r="H41" s="404"/>
    </row>
    <row r="42" spans="2:9" x14ac:dyDescent="0.25">
      <c r="C42" s="199" t="s">
        <v>1093</v>
      </c>
    </row>
    <row r="43" spans="2:9" ht="6.75" customHeight="1" x14ac:dyDescent="0.25"/>
    <row r="44" spans="2:9" ht="40.5" customHeight="1" x14ac:dyDescent="0.25">
      <c r="E44" s="404" t="s">
        <v>1094</v>
      </c>
      <c r="F44" s="404"/>
      <c r="G44" s="404"/>
      <c r="H44" s="404"/>
    </row>
    <row r="45" spans="2:9" ht="4.5" customHeight="1" thickBot="1" x14ac:dyDescent="0.3">
      <c r="B45" s="351"/>
      <c r="C45" s="351"/>
      <c r="D45" s="351"/>
      <c r="E45" s="351"/>
      <c r="F45" s="351"/>
      <c r="G45" s="351"/>
      <c r="H45" s="351"/>
      <c r="I45" s="351"/>
    </row>
    <row r="46" spans="2:9" ht="15.75" thickTop="1" x14ac:dyDescent="0.25"/>
  </sheetData>
  <mergeCells count="25">
    <mergeCell ref="D5:H5"/>
    <mergeCell ref="D6:H6"/>
    <mergeCell ref="D7:H7"/>
    <mergeCell ref="D8:H8"/>
    <mergeCell ref="D11:H11"/>
    <mergeCell ref="D12:H12"/>
    <mergeCell ref="D13:H13"/>
    <mergeCell ref="D16:H16"/>
    <mergeCell ref="D19:H19"/>
    <mergeCell ref="E14:H14"/>
    <mergeCell ref="E15:H15"/>
    <mergeCell ref="E17:H17"/>
    <mergeCell ref="E18:H18"/>
    <mergeCell ref="E44:H44"/>
    <mergeCell ref="E20:H20"/>
    <mergeCell ref="E21:H21"/>
    <mergeCell ref="E22:H22"/>
    <mergeCell ref="E23:H23"/>
    <mergeCell ref="E24:H24"/>
    <mergeCell ref="E25:H25"/>
    <mergeCell ref="E26:H26"/>
    <mergeCell ref="E27:H27"/>
    <mergeCell ref="E28:H28"/>
    <mergeCell ref="E29:H29"/>
    <mergeCell ref="C41:H41"/>
  </mergeCells>
  <hyperlinks>
    <hyperlink ref="C42" r:id="rId1" display="http://www.outphit.eu/"/>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outlinePr summaryBelow="0" summaryRight="0"/>
  </sheetPr>
  <dimension ref="D1:AJ89"/>
  <sheetViews>
    <sheetView showGridLines="0" topLeftCell="C10" workbookViewId="0">
      <selection activeCell="R27" sqref="R27"/>
    </sheetView>
  </sheetViews>
  <sheetFormatPr defaultColWidth="11.42578125" defaultRowHeight="15" outlineLevelRow="1" x14ac:dyDescent="0.25"/>
  <cols>
    <col min="1" max="2" width="0" hidden="1" customWidth="1"/>
    <col min="3" max="3" width="5.7109375" customWidth="1"/>
    <col min="4" max="4" width="5.28515625" customWidth="1"/>
    <col min="5" max="5" width="13.140625" customWidth="1"/>
    <col min="7" max="7" width="16.85546875" customWidth="1"/>
    <col min="8" max="8" width="11.85546875" customWidth="1"/>
    <col min="11" max="11" width="11.42578125" customWidth="1"/>
    <col min="12" max="14" width="11.42578125" hidden="1" customWidth="1"/>
    <col min="19" max="19" width="6.28515625" customWidth="1"/>
    <col min="20" max="26" width="11.42578125" style="201" customWidth="1"/>
    <col min="27" max="27" width="23.7109375" style="201" customWidth="1"/>
    <col min="28" max="33" width="11.42578125" style="201" customWidth="1"/>
    <col min="34" max="34" width="3.85546875" style="201" customWidth="1"/>
    <col min="35" max="35" width="13" style="201" customWidth="1"/>
    <col min="36" max="36" width="11.140625" style="201" customWidth="1"/>
  </cols>
  <sheetData>
    <row r="1" spans="4:36" ht="15.75" thickBot="1" x14ac:dyDescent="0.3">
      <c r="D1" s="351"/>
      <c r="E1" s="351"/>
      <c r="F1" s="351"/>
      <c r="G1" s="351"/>
      <c r="H1" s="351"/>
      <c r="I1" s="351"/>
      <c r="J1" s="351"/>
      <c r="K1" s="351"/>
      <c r="L1" s="352"/>
      <c r="M1" s="352"/>
      <c r="N1" s="352"/>
      <c r="O1" s="351"/>
      <c r="P1" s="351"/>
      <c r="Q1" s="351"/>
      <c r="R1" s="351"/>
      <c r="S1" s="351"/>
    </row>
    <row r="2" spans="4:36" s="350" customFormat="1" ht="51" customHeight="1" thickTop="1" thickBot="1" x14ac:dyDescent="0.3">
      <c r="D2" s="355" t="s">
        <v>889</v>
      </c>
      <c r="E2" s="353"/>
      <c r="F2" s="353"/>
      <c r="G2" s="353"/>
      <c r="H2" s="353"/>
      <c r="I2" s="353"/>
      <c r="J2" s="353"/>
      <c r="K2" s="353"/>
      <c r="L2" s="354"/>
      <c r="M2" s="354"/>
      <c r="N2" s="354"/>
      <c r="O2" s="353"/>
      <c r="P2" s="353"/>
      <c r="Q2" s="353"/>
      <c r="R2" s="353"/>
      <c r="S2" s="353"/>
      <c r="T2" s="349"/>
      <c r="U2" s="201"/>
      <c r="V2" s="349"/>
      <c r="W2" s="349"/>
      <c r="X2" s="349"/>
      <c r="Y2" s="349"/>
      <c r="Z2" s="349"/>
      <c r="AA2" s="349"/>
      <c r="AB2" s="349"/>
      <c r="AC2" s="349"/>
      <c r="AD2" s="349"/>
      <c r="AE2" s="349"/>
      <c r="AF2" s="349"/>
      <c r="AG2" s="349"/>
      <c r="AH2" s="349"/>
      <c r="AI2" s="349"/>
      <c r="AJ2" s="349"/>
    </row>
    <row r="3" spans="4:36" ht="28.5" customHeight="1" thickTop="1" x14ac:dyDescent="0.25">
      <c r="L3" s="201"/>
      <c r="M3" s="201"/>
      <c r="N3" s="201"/>
      <c r="S3" s="356" t="s">
        <v>1095</v>
      </c>
    </row>
    <row r="4" spans="4:36" ht="15.75" x14ac:dyDescent="0.25">
      <c r="D4" s="15"/>
      <c r="E4" s="306" t="s">
        <v>349</v>
      </c>
      <c r="F4" s="16"/>
      <c r="G4" s="16"/>
      <c r="H4" s="16"/>
      <c r="I4" s="16"/>
      <c r="J4" s="16"/>
      <c r="K4" s="16"/>
      <c r="L4" s="307"/>
      <c r="M4" s="307"/>
      <c r="N4" s="307"/>
      <c r="O4" s="16"/>
      <c r="P4" s="16"/>
      <c r="Q4" s="16"/>
      <c r="R4" s="16"/>
      <c r="S4" s="17"/>
      <c r="AA4" s="358" t="str">
        <f>'Transparent components'!A49</f>
        <v>01 Timber frame</v>
      </c>
      <c r="AC4" s="358" t="str">
        <f>'Transparent components'!A17</f>
        <v>01 Single glazing</v>
      </c>
      <c r="AE4" s="358" t="str">
        <f>Data!D4</f>
        <v>Heat pump</v>
      </c>
      <c r="AG4" s="358" t="str">
        <f>Data!P11</f>
        <v>1-Dwelling</v>
      </c>
      <c r="AI4" s="358" t="str">
        <f>Data!C11</f>
        <v>1-Frankfurt/Main (DE)</v>
      </c>
    </row>
    <row r="5" spans="4:36" ht="15.75" customHeight="1" x14ac:dyDescent="0.25">
      <c r="D5" s="18"/>
      <c r="E5" s="308" t="s">
        <v>359</v>
      </c>
      <c r="F5" s="20"/>
      <c r="G5" s="406" t="s">
        <v>1109</v>
      </c>
      <c r="H5" s="407"/>
      <c r="I5" s="20"/>
      <c r="J5" s="20"/>
      <c r="K5" s="20"/>
      <c r="L5" s="228"/>
      <c r="M5" s="228"/>
      <c r="N5" s="228"/>
      <c r="O5" s="20"/>
      <c r="P5" s="20"/>
      <c r="Q5" s="20"/>
      <c r="R5" s="20"/>
      <c r="S5" s="19"/>
      <c r="AA5" s="358" t="str">
        <f>'Transparent components'!A50</f>
        <v>02 PH Timber frame with PU insulation</v>
      </c>
      <c r="AC5" s="358" t="str">
        <f>'Transparent components'!A18</f>
        <v>02 Double glazing</v>
      </c>
      <c r="AE5" s="358" t="str">
        <f>Data!D5</f>
        <v>Direct electric</v>
      </c>
      <c r="AG5" s="358" t="str">
        <f>Data!P12</f>
        <v>2-Nursing home / Students</v>
      </c>
      <c r="AI5" s="358" t="str">
        <f>Data!C12</f>
        <v>2-Freiburg (DE)</v>
      </c>
    </row>
    <row r="6" spans="4:36" ht="15.75" customHeight="1" x14ac:dyDescent="0.25">
      <c r="D6" s="18"/>
      <c r="E6" s="309"/>
      <c r="F6" s="20"/>
      <c r="G6" s="310" t="s">
        <v>365</v>
      </c>
      <c r="H6" s="137">
        <f>VLOOKUP(G5,Data!$C$10:$F$30,Data!$E$9,0)</f>
        <v>79</v>
      </c>
      <c r="I6" s="20"/>
      <c r="J6" s="20"/>
      <c r="K6" s="20"/>
      <c r="L6" s="228"/>
      <c r="M6" s="228"/>
      <c r="N6" s="228"/>
      <c r="O6" s="20"/>
      <c r="P6" s="20"/>
      <c r="Q6" s="20"/>
      <c r="R6" s="20"/>
      <c r="S6" s="19"/>
      <c r="AA6" s="358" t="str">
        <f>'Transparent components'!A51</f>
        <v>03 Timber frame IV 68</v>
      </c>
      <c r="AC6" s="358" t="str">
        <f>'Transparent components'!A19</f>
        <v>03 Double low-e</v>
      </c>
      <c r="AE6" s="358" t="str">
        <f>Data!D6</f>
        <v>Gas boiler</v>
      </c>
      <c r="AG6" s="358" t="str">
        <f>Data!P13</f>
        <v>3-Office</v>
      </c>
      <c r="AI6" s="358" t="str">
        <f>Data!C13</f>
        <v>3-Potsdam (DE)</v>
      </c>
    </row>
    <row r="7" spans="4:36" ht="15.75" customHeight="1" x14ac:dyDescent="0.25">
      <c r="D7" s="18"/>
      <c r="E7" s="309"/>
      <c r="F7" s="20"/>
      <c r="G7" s="310" t="s">
        <v>956</v>
      </c>
      <c r="H7" s="137">
        <f>VLOOKUP(G5,Data!$C$10:$L$30,Data!$L$9,0)</f>
        <v>214</v>
      </c>
      <c r="I7" s="20"/>
      <c r="J7" s="20"/>
      <c r="K7" s="20"/>
      <c r="L7" s="228"/>
      <c r="M7" s="228"/>
      <c r="N7" s="228"/>
      <c r="O7" s="20"/>
      <c r="P7" s="20"/>
      <c r="Q7" s="20"/>
      <c r="R7" s="20"/>
      <c r="S7" s="19"/>
      <c r="AA7" s="358" t="str">
        <f>'Transparent components'!A52</f>
        <v>04 Ti-Alu integral</v>
      </c>
      <c r="AC7" s="358" t="str">
        <f>'Transparent components'!A20</f>
        <v>04 Triple low-e (solar)</v>
      </c>
      <c r="AE7" s="358" t="str">
        <f>Data!D7</f>
        <v>Biomass</v>
      </c>
      <c r="AG7" s="358" t="str">
        <f>Data!P14</f>
        <v>4-School</v>
      </c>
      <c r="AI7" s="358" t="str">
        <f>Data!C14</f>
        <v>4-Hof (DE)</v>
      </c>
    </row>
    <row r="8" spans="4:36" ht="15.75" customHeight="1" x14ac:dyDescent="0.25">
      <c r="D8" s="18"/>
      <c r="E8" s="309"/>
      <c r="F8" s="20"/>
      <c r="G8" s="310"/>
      <c r="H8" s="298"/>
      <c r="I8" s="20"/>
      <c r="J8" s="20"/>
      <c r="K8" s="20"/>
      <c r="L8" s="228"/>
      <c r="M8" s="228"/>
      <c r="N8" s="228"/>
      <c r="O8" s="20"/>
      <c r="P8" s="20"/>
      <c r="Q8" s="20"/>
      <c r="R8" s="20"/>
      <c r="S8" s="19"/>
      <c r="AA8" s="358" t="str">
        <f>'Transparent components'!A53</f>
        <v>05 PH Ti-Alu integral with PU insulation</v>
      </c>
      <c r="AC8" s="358" t="str">
        <f>'Transparent components'!A21</f>
        <v>05 Triple low-e (U)</v>
      </c>
      <c r="AE8" s="358"/>
      <c r="AG8" s="358" t="str">
        <f>Data!P15</f>
        <v>5-Other</v>
      </c>
      <c r="AI8" s="358" t="str">
        <f>Data!C15</f>
        <v>5-Rome (IT)</v>
      </c>
    </row>
    <row r="9" spans="4:36" ht="15.75" customHeight="1" x14ac:dyDescent="0.25">
      <c r="D9" s="18"/>
      <c r="E9" s="308" t="s">
        <v>965</v>
      </c>
      <c r="G9" s="406" t="s">
        <v>1110</v>
      </c>
      <c r="H9" s="407"/>
      <c r="I9" s="20"/>
      <c r="J9" s="20"/>
      <c r="K9" s="20"/>
      <c r="L9" s="228"/>
      <c r="M9" s="228"/>
      <c r="N9" s="228"/>
      <c r="O9" s="20"/>
      <c r="P9" s="20"/>
      <c r="Q9" s="20"/>
      <c r="R9" s="20"/>
      <c r="S9" s="19"/>
      <c r="AA9" s="358" t="str">
        <f>'Transparent components'!A54</f>
        <v>06 Ti-Alu</v>
      </c>
      <c r="AC9" s="358" t="str">
        <f>'Transparent components'!A22</f>
        <v>06 Triple low-e</v>
      </c>
      <c r="AG9" s="358"/>
      <c r="AI9" s="358" t="str">
        <f>Data!C16</f>
        <v>6-Kiruna (Schweden)</v>
      </c>
    </row>
    <row r="10" spans="4:36" ht="15.75" customHeight="1" x14ac:dyDescent="0.25">
      <c r="D10" s="18"/>
      <c r="E10" s="309"/>
      <c r="F10" s="338"/>
      <c r="G10" s="310" t="s">
        <v>958</v>
      </c>
      <c r="H10" s="135">
        <f>VLOOKUP(G9,Data!$P$11:$R$15,Data!R9,0)</f>
        <v>1.45</v>
      </c>
      <c r="I10" s="20"/>
      <c r="J10" s="20"/>
      <c r="K10" s="20"/>
      <c r="L10" s="228"/>
      <c r="M10" s="228"/>
      <c r="N10" s="228"/>
      <c r="O10" s="20"/>
      <c r="P10" s="20"/>
      <c r="Q10" s="20"/>
      <c r="R10" s="20"/>
      <c r="S10" s="19"/>
      <c r="AA10" s="358" t="str">
        <f>'Transparent components'!A55</f>
        <v>07 PH Ti-Alu</v>
      </c>
      <c r="AC10" s="358" t="str">
        <f>'Transparent components'!A23</f>
        <v>07 Quadruple low-e</v>
      </c>
      <c r="AG10" s="363" t="str">
        <f>Data!B4</f>
        <v>yes</v>
      </c>
      <c r="AI10" s="358" t="str">
        <f>Data!C17</f>
        <v>7-</v>
      </c>
    </row>
    <row r="11" spans="4:36" ht="15.75" customHeight="1" x14ac:dyDescent="0.25">
      <c r="D11" s="18"/>
      <c r="E11" s="309"/>
      <c r="F11" s="20"/>
      <c r="G11" s="310"/>
      <c r="H11" s="298"/>
      <c r="I11" s="20"/>
      <c r="J11" s="20"/>
      <c r="K11" s="20"/>
      <c r="L11" s="228"/>
      <c r="M11" s="228"/>
      <c r="N11" s="228"/>
      <c r="O11" s="20"/>
      <c r="P11" s="20"/>
      <c r="Q11" s="20"/>
      <c r="R11" s="20"/>
      <c r="S11" s="19"/>
      <c r="AA11" s="358" t="str">
        <f>'Transparent components'!A56</f>
        <v>08 Vinyl frame</v>
      </c>
      <c r="AC11" s="358">
        <f>'Transparent components'!D24</f>
        <v>0</v>
      </c>
      <c r="AG11" s="364" t="str">
        <f>Data!B5</f>
        <v>no</v>
      </c>
      <c r="AI11" s="358" t="str">
        <f>Data!C18</f>
        <v>8-</v>
      </c>
    </row>
    <row r="12" spans="4:36" ht="15.75" customHeight="1" x14ac:dyDescent="0.25">
      <c r="D12" s="18"/>
      <c r="E12" s="309" t="s">
        <v>341</v>
      </c>
      <c r="F12" s="20"/>
      <c r="G12" s="311"/>
      <c r="H12" s="94" t="s">
        <v>156</v>
      </c>
      <c r="I12" s="153"/>
      <c r="J12" s="20"/>
      <c r="K12" s="20"/>
      <c r="L12" s="228"/>
      <c r="M12" s="228"/>
      <c r="N12" s="228"/>
      <c r="O12" s="20"/>
      <c r="P12" s="20"/>
      <c r="Q12" s="20"/>
      <c r="R12" s="20"/>
      <c r="S12" s="19"/>
      <c r="AA12" s="358" t="str">
        <f>'Transparent components'!A57</f>
        <v>09 PH Vinyl frame</v>
      </c>
      <c r="AC12" s="358">
        <f>'Transparent components'!D25</f>
        <v>0</v>
      </c>
      <c r="AG12" s="364">
        <f>Data!B6</f>
        <v>1</v>
      </c>
      <c r="AI12" s="358" t="str">
        <f>Data!C19</f>
        <v>9-</v>
      </c>
    </row>
    <row r="13" spans="4:36" ht="15.75" customHeight="1" x14ac:dyDescent="0.25">
      <c r="D13" s="18"/>
      <c r="E13" s="309" t="s">
        <v>350</v>
      </c>
      <c r="F13" s="20"/>
      <c r="G13" s="153"/>
      <c r="H13" s="94">
        <v>20</v>
      </c>
      <c r="I13" s="153"/>
      <c r="J13" s="20"/>
      <c r="K13" s="20"/>
      <c r="L13" s="228"/>
      <c r="M13" s="228"/>
      <c r="N13" s="228"/>
      <c r="O13" s="20"/>
      <c r="P13" s="20"/>
      <c r="Q13" s="20"/>
      <c r="R13" s="20"/>
      <c r="S13" s="19"/>
      <c r="AA13" s="358" t="str">
        <f>'Transparent components'!A58</f>
        <v>10 Alu frame</v>
      </c>
      <c r="AC13" s="358">
        <f>'Transparent components'!D26</f>
        <v>0</v>
      </c>
      <c r="AG13" s="364">
        <f>Data!B7</f>
        <v>0</v>
      </c>
      <c r="AI13" s="358" t="str">
        <f>Data!C20</f>
        <v>10-</v>
      </c>
    </row>
    <row r="14" spans="4:36" ht="15.75" customHeight="1" x14ac:dyDescent="0.25">
      <c r="D14" s="18"/>
      <c r="E14" s="309"/>
      <c r="F14" s="20"/>
      <c r="G14" s="310" t="s">
        <v>385</v>
      </c>
      <c r="H14" s="94">
        <v>2022</v>
      </c>
      <c r="I14" s="153"/>
      <c r="J14" s="20"/>
      <c r="K14" s="20"/>
      <c r="L14" s="228"/>
      <c r="M14" s="228"/>
      <c r="N14" s="228"/>
      <c r="O14" s="20"/>
      <c r="P14" s="20"/>
      <c r="Q14" s="20"/>
      <c r="R14" s="20"/>
      <c r="S14" s="19"/>
      <c r="AA14" s="358" t="str">
        <f>'Transparent components'!A59</f>
        <v>11 PH Alu frame</v>
      </c>
      <c r="AI14" s="358" t="str">
        <f>Data!C21</f>
        <v>11-</v>
      </c>
    </row>
    <row r="15" spans="4:36" ht="15.75" customHeight="1" x14ac:dyDescent="0.25">
      <c r="D15" s="18"/>
      <c r="E15" s="309"/>
      <c r="F15" s="20"/>
      <c r="G15" s="310"/>
      <c r="H15" s="323"/>
      <c r="I15" s="153"/>
      <c r="J15" s="20"/>
      <c r="K15" s="20"/>
      <c r="L15" s="228"/>
      <c r="M15" s="228"/>
      <c r="N15" s="228"/>
      <c r="O15" s="20"/>
      <c r="P15" s="20"/>
      <c r="Q15" s="20"/>
      <c r="R15" s="20"/>
      <c r="S15" s="19"/>
      <c r="AA15" s="358" t="str">
        <f>'Transparent components'!A60</f>
        <v>12 Schüco AWS 90.si+</v>
      </c>
      <c r="AI15" s="358" t="str">
        <f>Data!C22</f>
        <v>12-</v>
      </c>
    </row>
    <row r="16" spans="4:36" ht="15.75" customHeight="1" x14ac:dyDescent="0.25">
      <c r="D16" s="18"/>
      <c r="E16" s="308" t="s">
        <v>369</v>
      </c>
      <c r="F16" s="20"/>
      <c r="G16" s="406" t="s">
        <v>370</v>
      </c>
      <c r="H16" s="407"/>
      <c r="I16" s="153"/>
      <c r="J16" s="20"/>
      <c r="K16" s="20"/>
      <c r="L16" s="228"/>
      <c r="M16" s="228"/>
      <c r="N16" s="228"/>
      <c r="O16" s="20"/>
      <c r="P16" s="20"/>
      <c r="Q16" s="20"/>
      <c r="R16" s="20"/>
      <c r="S16" s="19"/>
      <c r="AA16" s="358" t="str">
        <f>'Transparent components'!A61</f>
        <v>13 Smartwin Solar</v>
      </c>
      <c r="AI16" s="358" t="str">
        <f>Data!C23</f>
        <v>13-</v>
      </c>
    </row>
    <row r="17" spans="4:35" ht="15.75" customHeight="1" x14ac:dyDescent="0.25">
      <c r="D17" s="18"/>
      <c r="E17" s="309" t="s">
        <v>368</v>
      </c>
      <c r="F17" s="20"/>
      <c r="G17" s="310"/>
      <c r="H17" s="79">
        <v>3</v>
      </c>
      <c r="I17" s="20"/>
      <c r="J17" s="20"/>
      <c r="K17" s="20"/>
      <c r="L17" s="228"/>
      <c r="M17" s="228"/>
      <c r="N17" s="228"/>
      <c r="O17" s="20"/>
      <c r="P17" s="20"/>
      <c r="Q17" s="20"/>
      <c r="R17" s="20"/>
      <c r="S17" s="19"/>
      <c r="AA17" s="358">
        <f>'Transparent components'!D62</f>
        <v>0</v>
      </c>
      <c r="AI17" s="358" t="str">
        <f>Data!C24</f>
        <v>14-</v>
      </c>
    </row>
    <row r="18" spans="4:35" ht="15.75" customHeight="1" x14ac:dyDescent="0.25">
      <c r="D18" s="18"/>
      <c r="E18" s="309" t="s">
        <v>391</v>
      </c>
      <c r="F18" s="20"/>
      <c r="G18" s="153"/>
      <c r="H18" s="184">
        <f>VLOOKUP(G16,Data!D4:E7,2,0)</f>
        <v>1</v>
      </c>
      <c r="I18" s="20"/>
      <c r="J18" s="20"/>
      <c r="K18" s="20"/>
      <c r="L18" s="228"/>
      <c r="M18" s="228"/>
      <c r="N18" s="228"/>
      <c r="O18" s="20"/>
      <c r="P18" s="20"/>
      <c r="Q18" s="20"/>
      <c r="R18" s="20"/>
      <c r="S18" s="19"/>
      <c r="AA18" s="358">
        <f>'Transparent components'!D63</f>
        <v>0</v>
      </c>
      <c r="AI18" s="358" t="str">
        <f>Data!C25</f>
        <v>15-</v>
      </c>
    </row>
    <row r="19" spans="4:35" ht="15.75" customHeight="1" x14ac:dyDescent="0.25">
      <c r="D19" s="18"/>
      <c r="E19" s="309" t="s">
        <v>390</v>
      </c>
      <c r="F19" s="20"/>
      <c r="G19" s="153"/>
      <c r="H19" s="183">
        <v>0.9</v>
      </c>
      <c r="I19" s="20"/>
      <c r="J19" s="20"/>
      <c r="K19" s="20"/>
      <c r="L19" s="228"/>
      <c r="M19" s="228"/>
      <c r="N19" s="228"/>
      <c r="O19" s="20"/>
      <c r="P19" s="20"/>
      <c r="Q19" s="20"/>
      <c r="R19" s="20"/>
      <c r="S19" s="19"/>
      <c r="AA19" s="358"/>
      <c r="AI19" s="358" t="str">
        <f>Data!C26</f>
        <v>16-</v>
      </c>
    </row>
    <row r="20" spans="4:35" ht="25.5" customHeight="1" x14ac:dyDescent="0.25">
      <c r="D20" s="18"/>
      <c r="E20" s="309"/>
      <c r="F20" s="20"/>
      <c r="G20" s="153"/>
      <c r="H20" s="180"/>
      <c r="I20" s="20"/>
      <c r="J20" s="20"/>
      <c r="K20" s="20"/>
      <c r="L20" s="228"/>
      <c r="M20" s="228"/>
      <c r="N20" s="228"/>
      <c r="O20" s="292" t="str">
        <f>L36</f>
        <v>Energy construction</v>
      </c>
      <c r="P20" s="271" t="str">
        <f>M36</f>
        <v>Energy service</v>
      </c>
      <c r="Q20" s="271" t="str">
        <f>N36</f>
        <v>GWP total</v>
      </c>
      <c r="R20" s="271" t="s">
        <v>966</v>
      </c>
      <c r="S20" s="19"/>
      <c r="AI20" s="358" t="str">
        <f>Data!C27</f>
        <v>17-</v>
      </c>
    </row>
    <row r="21" spans="4:35" ht="21" customHeight="1" x14ac:dyDescent="0.25">
      <c r="D21" s="18"/>
      <c r="E21" s="308" t="s">
        <v>375</v>
      </c>
      <c r="F21" s="20"/>
      <c r="G21" s="312" t="s">
        <v>378</v>
      </c>
      <c r="H21" s="312" t="s">
        <v>379</v>
      </c>
      <c r="I21" s="20"/>
      <c r="J21" s="20"/>
      <c r="K21" s="20"/>
      <c r="L21" s="228"/>
      <c r="M21" s="228"/>
      <c r="N21" s="228"/>
      <c r="O21" s="120" t="str">
        <f>L37</f>
        <v>kWh/m²</v>
      </c>
      <c r="P21" s="120" t="str">
        <f>M37</f>
        <v>kWh/m²</v>
      </c>
      <c r="Q21" s="120" t="s">
        <v>901</v>
      </c>
      <c r="R21" s="120" t="s">
        <v>60</v>
      </c>
      <c r="S21" s="19"/>
      <c r="T21" s="297" t="s">
        <v>952</v>
      </c>
      <c r="U21" s="297" t="s">
        <v>967</v>
      </c>
      <c r="AI21" s="358" t="str">
        <f>Data!C28</f>
        <v>18-</v>
      </c>
    </row>
    <row r="22" spans="4:35" ht="15.75" customHeight="1" x14ac:dyDescent="0.25">
      <c r="D22" s="18"/>
      <c r="E22" s="309" t="s">
        <v>376</v>
      </c>
      <c r="F22" s="20"/>
      <c r="G22" s="137">
        <f ca="1">Data!D36</f>
        <v>340</v>
      </c>
      <c r="H22" s="123">
        <f>VLOOKUP(G5,Data!$C$10:$F$30,Data!$F$9,0)</f>
        <v>1.8</v>
      </c>
      <c r="I22" s="20"/>
      <c r="J22" s="20"/>
      <c r="K22" s="325" t="s">
        <v>955</v>
      </c>
      <c r="L22" s="228"/>
      <c r="M22" s="228"/>
      <c r="N22" s="228"/>
      <c r="O22" s="285"/>
      <c r="P22" s="285">
        <f>IF(ISNUMBER(X22),X22*$H$13,"")</f>
        <v>-99.295999999999992</v>
      </c>
      <c r="Q22" s="285">
        <f ca="1">IF(ISNUMBER(AC22),AC22*$H$13,"")</f>
        <v>-18.755911111111111</v>
      </c>
      <c r="R22" s="284">
        <f>T22</f>
        <v>-7.4471999999999996</v>
      </c>
      <c r="S22" s="19"/>
      <c r="T22" s="305">
        <f>-U22*H7*H10</f>
        <v>-7.4471999999999996</v>
      </c>
      <c r="U22" s="341">
        <f>24/1000</f>
        <v>2.4E-2</v>
      </c>
      <c r="W22" s="294">
        <f>T22</f>
        <v>-7.4471999999999996</v>
      </c>
      <c r="X22" s="219">
        <f>IF(ISNUMBER(W22),IF($X$57=$Y$57,Y22,IF($X$57=$Z$57,Z22,IF($X$57=$AA$57,AA22,IF($X$57=$AB$57,AB22,"Error")))),"")</f>
        <v>-4.9647999999999994</v>
      </c>
      <c r="Y22" s="217">
        <f>W22/(Balance!$H$17*Balance!$H$18*Balance!$H$19)*Balance!$H$22</f>
        <v>-4.9647999999999994</v>
      </c>
      <c r="Z22" s="217">
        <f>W22/Balance!$H$18*Balance!$H$22</f>
        <v>-13.404959999999999</v>
      </c>
      <c r="AA22" s="217">
        <f>W22/(Balance!$H$18*Balance!$H$19)*Balance!$H$23</f>
        <v>-14.480666666666666</v>
      </c>
      <c r="AB22" s="218">
        <f>W22/(Balance!$H$18*Balance!$H$19)*Balance!$H$24</f>
        <v>-9.1021333333333345</v>
      </c>
      <c r="AC22" s="219">
        <f ca="1">IF(ISNUMBER(W22),IF($AC$57=$AD$57,AD22,IF($AC$57=$AE$57,AE22,IF($AC$57=$AF$57,AF22,IF($AC$57=$AG$57,AG22,"Error")))),"")</f>
        <v>-0.93779555555555549</v>
      </c>
      <c r="AD22" s="217">
        <f ca="1">W22/(Balance!$H$17*Balance!$H$18*Balance!$H$19)*Balance!$G$22/1000</f>
        <v>-0.93779555555555549</v>
      </c>
      <c r="AE22" s="217">
        <f ca="1">W22/Balance!$H$18*Balance!$G$22/1000</f>
        <v>-2.5320479999999996</v>
      </c>
      <c r="AF22" s="217">
        <f ca="1">W22/(Balance!$H$18*Balance!$H$19)*Balance!$G$23/1000</f>
        <v>-2.0637412698412692</v>
      </c>
      <c r="AG22" s="218">
        <f ca="1">W22/(Balance!$H$18*Balance!$H$19)*Balance!$G$24/1000</f>
        <v>-0.17583666666666667</v>
      </c>
      <c r="AI22" s="358" t="str">
        <f>Data!C29</f>
        <v>19-</v>
      </c>
    </row>
    <row r="23" spans="4:35" ht="15.75" customHeight="1" x14ac:dyDescent="0.25">
      <c r="D23" s="18"/>
      <c r="E23" s="309" t="s">
        <v>377</v>
      </c>
      <c r="F23" s="20"/>
      <c r="G23" s="137">
        <f ca="1">Data!I36</f>
        <v>249.40476190476181</v>
      </c>
      <c r="H23" s="79">
        <v>1.75</v>
      </c>
      <c r="I23" s="20"/>
      <c r="J23" s="20"/>
      <c r="K23" s="325" t="str">
        <f>E29</f>
        <v>Ventilation</v>
      </c>
      <c r="L23" s="228"/>
      <c r="M23" s="228"/>
      <c r="N23" s="228"/>
      <c r="O23" s="285"/>
      <c r="P23" s="285">
        <f>P32</f>
        <v>23.658525000000001</v>
      </c>
      <c r="Q23" s="285">
        <f ca="1">Q32</f>
        <v>4.4688325000000004</v>
      </c>
      <c r="R23" s="284">
        <f>R32</f>
        <v>1.7743893750000002</v>
      </c>
      <c r="S23" s="19"/>
      <c r="AI23" s="358" t="str">
        <f>Data!C30</f>
        <v>20-</v>
      </c>
    </row>
    <row r="24" spans="4:35" ht="15.75" customHeight="1" x14ac:dyDescent="0.25">
      <c r="D24" s="18"/>
      <c r="E24" s="309" t="s">
        <v>373</v>
      </c>
      <c r="F24" s="20"/>
      <c r="G24" s="137">
        <f ca="1">Data!N36</f>
        <v>21.25</v>
      </c>
      <c r="H24" s="79">
        <v>1.1000000000000001</v>
      </c>
      <c r="I24" s="20"/>
      <c r="J24" s="20"/>
      <c r="K24" s="325" t="str">
        <f>E36</f>
        <v>Opaque assemblies</v>
      </c>
      <c r="L24" s="228"/>
      <c r="M24" s="228"/>
      <c r="N24" s="228"/>
      <c r="O24" s="285">
        <f>O54</f>
        <v>231.21648341904702</v>
      </c>
      <c r="P24" s="285">
        <f t="shared" ref="P24:Q24" si="0">P54</f>
        <v>231.665520730286</v>
      </c>
      <c r="Q24" s="285">
        <f t="shared" ca="1" si="0"/>
        <v>108.06661293409903</v>
      </c>
      <c r="R24" s="284">
        <f t="shared" ref="R24" si="1">R54</f>
        <v>17.374914054771445</v>
      </c>
      <c r="S24" s="19"/>
      <c r="AI24" s="358"/>
    </row>
    <row r="25" spans="4:35" ht="15.75" customHeight="1" x14ac:dyDescent="0.25">
      <c r="D25" s="18"/>
      <c r="E25" s="309"/>
      <c r="F25" s="20"/>
      <c r="G25" s="298"/>
      <c r="H25" s="20"/>
      <c r="I25" s="20"/>
      <c r="J25" s="20"/>
      <c r="K25" s="325" t="s">
        <v>893</v>
      </c>
      <c r="L25" s="228"/>
      <c r="M25" s="228"/>
      <c r="N25" s="228"/>
      <c r="O25" s="320">
        <f>O88+O71</f>
        <v>66.810323818183761</v>
      </c>
      <c r="P25" s="320">
        <f>P88+P71</f>
        <v>31.370216444998096</v>
      </c>
      <c r="Q25" s="320">
        <f ca="1">Q88+Q71</f>
        <v>21.526451613278851</v>
      </c>
      <c r="R25" s="342">
        <f>R88+R71</f>
        <v>2.3527662333748571</v>
      </c>
      <c r="S25" s="19"/>
      <c r="AI25" s="358" t="str">
        <f>'Opaque assemblies'!D9</f>
        <v>01 Flor slab, Concrete, XPS</v>
      </c>
    </row>
    <row r="26" spans="4:35" ht="15.75" customHeight="1" x14ac:dyDescent="0.25">
      <c r="D26" s="18"/>
      <c r="E26" s="308" t="s">
        <v>910</v>
      </c>
      <c r="F26" s="20"/>
      <c r="G26" s="302" t="s">
        <v>911</v>
      </c>
      <c r="H26" s="79">
        <v>160</v>
      </c>
      <c r="I26" s="20"/>
      <c r="J26" s="20"/>
      <c r="K26" s="326" t="s">
        <v>905</v>
      </c>
      <c r="L26" s="228"/>
      <c r="M26" s="228"/>
      <c r="N26" s="228"/>
      <c r="O26" s="322">
        <f>SUM(O23:O25)</f>
        <v>298.0268072372308</v>
      </c>
      <c r="P26" s="322">
        <f>SUM(P23:P25)</f>
        <v>286.69426217528411</v>
      </c>
      <c r="Q26" s="322">
        <f ca="1">SUM(Q23:Q25)</f>
        <v>134.0618970473779</v>
      </c>
      <c r="R26" s="321">
        <f>SUM(R22:R25)</f>
        <v>14.054869663146302</v>
      </c>
      <c r="S26" s="19"/>
      <c r="AI26" s="358" t="str">
        <f>'Opaque assemblies'!D10</f>
        <v>02 Exterior wall, Lime-Sand stone, EPS</v>
      </c>
    </row>
    <row r="27" spans="4:35" ht="15.75" customHeight="1" x14ac:dyDescent="0.25">
      <c r="D27" s="21"/>
      <c r="E27" s="313"/>
      <c r="F27" s="22"/>
      <c r="G27" s="314"/>
      <c r="H27" s="22"/>
      <c r="I27" s="22"/>
      <c r="J27" s="22"/>
      <c r="K27" s="22"/>
      <c r="L27" s="278"/>
      <c r="M27" s="278"/>
      <c r="N27" s="278"/>
      <c r="O27" s="22"/>
      <c r="P27" s="22"/>
      <c r="Q27" s="22"/>
      <c r="R27" s="22"/>
      <c r="S27" s="23"/>
      <c r="AI27" s="358" t="str">
        <f>'Opaque assemblies'!D11</f>
        <v>03 Roof, Cellulose</v>
      </c>
    </row>
    <row r="28" spans="4:35" ht="15.75" customHeight="1" x14ac:dyDescent="0.25">
      <c r="D28" s="50"/>
      <c r="E28" s="20"/>
      <c r="F28" s="20"/>
      <c r="G28" s="298"/>
      <c r="H28" s="20"/>
      <c r="I28" s="20"/>
      <c r="J28" s="20"/>
      <c r="K28" s="20"/>
      <c r="L28" s="228"/>
      <c r="M28" s="228"/>
      <c r="N28" s="228"/>
      <c r="O28" s="20"/>
      <c r="P28" s="20"/>
      <c r="Q28" s="20"/>
      <c r="R28" s="20"/>
      <c r="S28" s="20"/>
      <c r="T28" s="228"/>
      <c r="AI28" s="358" t="str">
        <f>'Opaque assemblies'!D12</f>
        <v>04 Wall to neighbour</v>
      </c>
    </row>
    <row r="29" spans="4:35" ht="25.5" customHeight="1" x14ac:dyDescent="0.25">
      <c r="D29" s="15"/>
      <c r="E29" s="315" t="s">
        <v>1108</v>
      </c>
      <c r="F29" s="316"/>
      <c r="G29" s="415" t="s">
        <v>913</v>
      </c>
      <c r="H29" s="416"/>
      <c r="I29" s="357" t="s">
        <v>1054</v>
      </c>
      <c r="J29" s="316"/>
      <c r="K29" s="316"/>
      <c r="L29" s="318"/>
      <c r="M29" s="318"/>
      <c r="N29" s="318"/>
      <c r="O29" s="317" t="str">
        <f>O36</f>
        <v>Energy construction</v>
      </c>
      <c r="P29" s="319" t="str">
        <f>P36</f>
        <v>Energy service</v>
      </c>
      <c r="Q29" s="319" t="str">
        <f>Q36</f>
        <v>GWP total</v>
      </c>
      <c r="R29" s="319" t="s">
        <v>951</v>
      </c>
      <c r="S29" s="17"/>
      <c r="AI29" s="358" t="str">
        <f>'Opaque assemblies'!D13</f>
        <v>05 Interior ceiling</v>
      </c>
    </row>
    <row r="30" spans="4:35" ht="15.75" customHeight="1" x14ac:dyDescent="0.25">
      <c r="D30" s="18"/>
      <c r="E30" s="309"/>
      <c r="F30" s="20"/>
      <c r="G30" s="413" t="s">
        <v>912</v>
      </c>
      <c r="H30" s="414"/>
      <c r="I30" s="120" t="s">
        <v>914</v>
      </c>
      <c r="J30" s="20"/>
      <c r="K30" s="20"/>
      <c r="L30" s="228"/>
      <c r="M30" s="228"/>
      <c r="N30" s="228"/>
      <c r="O30" s="120" t="s">
        <v>900</v>
      </c>
      <c r="P30" s="120" t="s">
        <v>900</v>
      </c>
      <c r="Q30" s="120" t="s">
        <v>902</v>
      </c>
      <c r="R30" s="120" t="s">
        <v>952</v>
      </c>
      <c r="S30" s="19"/>
      <c r="T30" s="297" t="s">
        <v>916</v>
      </c>
      <c r="U30" s="304" t="s">
        <v>915</v>
      </c>
      <c r="W30" s="297" t="s">
        <v>645</v>
      </c>
      <c r="X30" s="297" t="str">
        <f>Balance!$G$16</f>
        <v>Heat pump</v>
      </c>
      <c r="Y30" s="297" t="str">
        <f>Data!$D$4</f>
        <v>Heat pump</v>
      </c>
      <c r="Z30" s="297" t="str">
        <f>Data!$D$5</f>
        <v>Direct electric</v>
      </c>
      <c r="AA30" s="297" t="str">
        <f>Data!$D$6</f>
        <v>Gas boiler</v>
      </c>
      <c r="AB30" s="297" t="str">
        <f>Data!$D$7</f>
        <v>Biomass</v>
      </c>
      <c r="AC30" s="297" t="str">
        <f>Balance!$G$16</f>
        <v>Heat pump</v>
      </c>
      <c r="AD30" s="297" t="str">
        <f>Data!$D$4</f>
        <v>Heat pump</v>
      </c>
      <c r="AE30" s="297" t="str">
        <f>Data!$D$5</f>
        <v>Direct electric</v>
      </c>
      <c r="AF30" s="297" t="str">
        <f>Data!$D$6</f>
        <v>Gas boiler</v>
      </c>
      <c r="AG30" s="297" t="str">
        <f>Data!$D$7</f>
        <v>Biomass</v>
      </c>
      <c r="AI30" s="358" t="str">
        <f>'Opaque assemblies'!D14</f>
        <v>06 Interior wall</v>
      </c>
    </row>
    <row r="31" spans="4:35" ht="15.75" customHeight="1" x14ac:dyDescent="0.25">
      <c r="D31" s="18"/>
      <c r="E31" s="309"/>
      <c r="F31" s="20"/>
      <c r="G31" s="417">
        <v>0.89</v>
      </c>
      <c r="H31" s="410"/>
      <c r="I31" s="94">
        <v>99</v>
      </c>
      <c r="J31" s="20"/>
      <c r="K31" s="229" t="s">
        <v>905</v>
      </c>
      <c r="L31" s="228"/>
      <c r="M31" s="228"/>
      <c r="N31" s="228"/>
      <c r="O31" s="142"/>
      <c r="P31" s="286">
        <f>IF(ISNUMBER(X31),X31*$H$13,"")</f>
        <v>3785.364</v>
      </c>
      <c r="Q31" s="286">
        <f ca="1">IF(ISNUMBER(AC31),AC31*$H$13,"")</f>
        <v>715.0132000000001</v>
      </c>
      <c r="R31" s="287">
        <f>W31</f>
        <v>283.90230000000003</v>
      </c>
      <c r="S31" s="19"/>
      <c r="T31" s="305">
        <f>I31*$H$6*U31*(1-G31)</f>
        <v>283.90230000000003</v>
      </c>
      <c r="U31" s="217">
        <v>0.33</v>
      </c>
      <c r="W31" s="294">
        <f>T31</f>
        <v>283.90230000000003</v>
      </c>
      <c r="X31" s="219">
        <f>IF(ISNUMBER(W31),IF($X$57=$Y$57,Y31,IF($X$57=$Z$57,Z31,IF($X$57=$AA$57,AA31,IF($X$57=$AB$57,AB31,"Error")))),"")</f>
        <v>189.26820000000001</v>
      </c>
      <c r="Y31" s="217">
        <f>W31/(Balance!$H$17*Balance!$H$18*Balance!$H$19)*Balance!$H$22</f>
        <v>189.26820000000001</v>
      </c>
      <c r="Z31" s="217">
        <f>W31/Balance!$H$18*Balance!$H$22</f>
        <v>511.02414000000005</v>
      </c>
      <c r="AA31" s="217">
        <f>W31/(Balance!$H$18*Balance!$H$19)*Balance!$H$23</f>
        <v>552.03224999999998</v>
      </c>
      <c r="AB31" s="218">
        <f>W31/(Balance!$H$18*Balance!$H$19)*Balance!$H$24</f>
        <v>346.99170000000004</v>
      </c>
      <c r="AC31" s="219">
        <f ca="1">IF(ISNUMBER(W31),IF($AC$57=$AD$57,AD31,IF($AC$57=$AE$57,AE31,IF($AC$57=$AF$57,AF31,IF($AC$57=$AG$57,AG31,"Error")))),"")</f>
        <v>35.750660000000003</v>
      </c>
      <c r="AD31" s="217">
        <f ca="1">W31/(Balance!$H$17*Balance!$H$18*Balance!$H$19)*Balance!$G$22/1000</f>
        <v>35.750660000000003</v>
      </c>
      <c r="AE31" s="217">
        <f ca="1">W31/Balance!$H$18*Balance!$G$22/1000</f>
        <v>96.526782000000011</v>
      </c>
      <c r="AF31" s="217">
        <f ca="1">W31/(Balance!$H$18*Balance!$H$19)*Balance!$G$23/1000</f>
        <v>78.673983928571403</v>
      </c>
      <c r="AG31" s="218">
        <f ca="1">W31/(Balance!$H$18*Balance!$H$19)*Balance!$G$24/1000</f>
        <v>6.7032487499999993</v>
      </c>
      <c r="AI31" s="358" t="str">
        <f>'Opaque assemblies'!D15</f>
        <v>07 EIFS Wood faser</v>
      </c>
    </row>
    <row r="32" spans="4:35" ht="15.75" customHeight="1" x14ac:dyDescent="0.35">
      <c r="D32" s="18"/>
      <c r="E32" s="309"/>
      <c r="F32" s="20"/>
      <c r="G32" s="298"/>
      <c r="H32" s="20"/>
      <c r="I32" s="20"/>
      <c r="J32" s="20"/>
      <c r="K32" s="24" t="s">
        <v>909</v>
      </c>
      <c r="L32" s="228"/>
      <c r="M32" s="228"/>
      <c r="N32" s="228"/>
      <c r="O32" s="142"/>
      <c r="P32" s="303">
        <f>P31/$H$26</f>
        <v>23.658525000000001</v>
      </c>
      <c r="Q32" s="303">
        <f ca="1">Q31/$H$26</f>
        <v>4.4688325000000004</v>
      </c>
      <c r="R32" s="303">
        <f>R31/$H$26</f>
        <v>1.7743893750000002</v>
      </c>
      <c r="S32" s="19"/>
      <c r="AI32" s="358" t="str">
        <f>'Opaque assemblies'!D16</f>
        <v>08 Leightweight timber wall Cellulose</v>
      </c>
    </row>
    <row r="33" spans="4:35" ht="15.75" customHeight="1" x14ac:dyDescent="0.25">
      <c r="D33" s="21"/>
      <c r="E33" s="313"/>
      <c r="F33" s="22"/>
      <c r="G33" s="314"/>
      <c r="H33" s="22"/>
      <c r="I33" s="22"/>
      <c r="J33" s="22"/>
      <c r="K33" s="22"/>
      <c r="L33" s="278"/>
      <c r="M33" s="278"/>
      <c r="N33" s="278"/>
      <c r="O33" s="22"/>
      <c r="P33" s="22"/>
      <c r="Q33" s="22"/>
      <c r="R33" s="22"/>
      <c r="S33" s="23"/>
      <c r="AI33" s="358" t="str">
        <f>'Opaque assemblies'!D17</f>
        <v>09 Monolithic Aerated concrete</v>
      </c>
    </row>
    <row r="34" spans="4:35" x14ac:dyDescent="0.25">
      <c r="L34" s="201"/>
      <c r="M34" s="201"/>
      <c r="N34" s="201"/>
      <c r="R34" s="20"/>
      <c r="AI34" s="358" t="str">
        <f>'Opaque assemblies'!D18</f>
        <v>10 Monolithic Brickwork</v>
      </c>
    </row>
    <row r="35" spans="4:35" ht="15.75" x14ac:dyDescent="0.25">
      <c r="D35" s="15"/>
      <c r="E35" s="306" t="s">
        <v>891</v>
      </c>
      <c r="F35" s="16"/>
      <c r="G35" s="16"/>
      <c r="H35" s="16"/>
      <c r="I35" s="16"/>
      <c r="J35" s="16"/>
      <c r="K35" s="16"/>
      <c r="L35" s="307"/>
      <c r="M35" s="307"/>
      <c r="N35" s="307"/>
      <c r="O35" s="16"/>
      <c r="P35" s="16"/>
      <c r="Q35" s="16"/>
      <c r="R35" s="16"/>
      <c r="S35" s="17"/>
      <c r="AI35" s="358" t="str">
        <f>'Opaque assemblies'!D19</f>
        <v>11 Retrofit (EPS g)</v>
      </c>
    </row>
    <row r="36" spans="4:35" ht="22.5" x14ac:dyDescent="0.25">
      <c r="D36" s="18"/>
      <c r="E36" s="308" t="s">
        <v>890</v>
      </c>
      <c r="F36" s="20"/>
      <c r="G36" s="20"/>
      <c r="H36" s="20"/>
      <c r="I36" s="292" t="s">
        <v>892</v>
      </c>
      <c r="J36" s="292" t="str">
        <f>'Opaque assemblies'!F7</f>
        <v>U-value</v>
      </c>
      <c r="K36" s="292" t="str">
        <f>'Opaque assemblies'!R7</f>
        <v>Reduction factor</v>
      </c>
      <c r="L36" s="293" t="str">
        <f>'Opaque assemblies'!K7</f>
        <v>Energy construction</v>
      </c>
      <c r="M36" s="293" t="str">
        <f>'Opaque assemblies'!L7</f>
        <v>Energy service</v>
      </c>
      <c r="N36" s="293" t="str">
        <f>'Opaque assemblies'!M7</f>
        <v>GWP total</v>
      </c>
      <c r="O36" s="292" t="str">
        <f>L36</f>
        <v>Energy construction</v>
      </c>
      <c r="P36" s="292" t="str">
        <f t="shared" ref="P36:Q36" si="2">M36</f>
        <v>Energy service</v>
      </c>
      <c r="Q36" s="292" t="str">
        <f t="shared" si="2"/>
        <v>GWP total</v>
      </c>
      <c r="R36" s="292" t="s">
        <v>953</v>
      </c>
      <c r="S36" s="19"/>
      <c r="AI36" s="358" t="str">
        <f>'Opaque assemblies'!D20</f>
        <v>12 Retrofit (Holzweichfaser)</v>
      </c>
    </row>
    <row r="37" spans="4:35" x14ac:dyDescent="0.25">
      <c r="D37" s="18"/>
      <c r="E37" s="282"/>
      <c r="F37" s="282"/>
      <c r="G37" s="282"/>
      <c r="H37" s="282"/>
      <c r="I37" s="120" t="s">
        <v>58</v>
      </c>
      <c r="J37" s="120" t="s">
        <v>10</v>
      </c>
      <c r="K37" s="120" t="s">
        <v>898</v>
      </c>
      <c r="L37" s="203" t="str">
        <f>'Opaque assemblies'!K8</f>
        <v>kWh/m²</v>
      </c>
      <c r="M37" s="203" t="str">
        <f>'Opaque assemblies'!L8</f>
        <v>kWh/m²</v>
      </c>
      <c r="N37" s="203" t="s">
        <v>901</v>
      </c>
      <c r="O37" s="120" t="s">
        <v>900</v>
      </c>
      <c r="P37" s="120" t="s">
        <v>900</v>
      </c>
      <c r="Q37" s="120" t="s">
        <v>902</v>
      </c>
      <c r="R37" s="120" t="s">
        <v>952</v>
      </c>
      <c r="S37" s="19"/>
      <c r="T37" s="297" t="s">
        <v>904</v>
      </c>
      <c r="AI37" s="358" t="str">
        <f>'Opaque assemblies'!D21</f>
        <v>13 Leightweight timber wall Mineral wool</v>
      </c>
    </row>
    <row r="38" spans="4:35" x14ac:dyDescent="0.25">
      <c r="D38" s="239" t="str">
        <f>TEXT(1,"00")</f>
        <v>01</v>
      </c>
      <c r="E38" s="408" t="s">
        <v>954</v>
      </c>
      <c r="F38" s="411"/>
      <c r="G38" s="409"/>
      <c r="H38" s="412"/>
      <c r="I38" s="138">
        <v>83</v>
      </c>
      <c r="J38" s="279">
        <f>IF(ISTEXT(E38),VLOOKUP(LEFT(E38,2),'Opaque assemblies'!$C$9:$R$25,'Opaque assemblies'!$F$5,0),"")</f>
        <v>0.11782776106213312</v>
      </c>
      <c r="K38" s="284">
        <f>IF(ISTEXT(E38),VLOOKUP(LEFT(E38,2),'Opaque assemblies'!$C$9:$R$25,'Opaque assemblies'!$R$5,0),"")</f>
        <v>0.6</v>
      </c>
      <c r="L38" s="290">
        <f>IF(ISTEXT(E38),VLOOKUP(LEFT(E38,2),'Opaque assemblies'!$C$9:$R$25,'Opaque assemblies'!$K$5,0),"")</f>
        <v>72.784070059216987</v>
      </c>
      <c r="M38" s="290">
        <f>IF(ISTEXT(E38),VLOOKUP(LEFT(E38,2),'Opaque assemblies'!$C$9:$R$25,'Opaque assemblies'!$L$5,0),"")</f>
        <v>74.467144991268128</v>
      </c>
      <c r="N38" s="291">
        <f ca="1">IF(ISTEXT(E38),VLOOKUP(LEFT(E38,2),'Opaque assemblies'!$C$9:$R$25,'Opaque assemblies'!$M$5,0),"")</f>
        <v>39.522629041671379</v>
      </c>
      <c r="O38" s="285">
        <f>IF(ISNUMBER(I38),I38*L38,"")</f>
        <v>6041.0778149150101</v>
      </c>
      <c r="P38" s="285">
        <f>IF(ISNUMBER(I38),I38*M38,"")</f>
        <v>6180.7730342752548</v>
      </c>
      <c r="Q38" s="285">
        <f ca="1">IF(ISNUMBER(I38),I38*N38,"")</f>
        <v>3280.3782104587244</v>
      </c>
      <c r="R38" s="285">
        <f>IF(ISNUMBER(T38),T38,"")</f>
        <v>463.55797757064408</v>
      </c>
      <c r="S38" s="19"/>
      <c r="T38" s="305">
        <f>J38*K38*$H$6*I38</f>
        <v>463.55797757064408</v>
      </c>
      <c r="AI38" s="358" t="str">
        <f>'Opaque assemblies'!D22</f>
        <v>14 Leightweight timber wall Straw</v>
      </c>
    </row>
    <row r="39" spans="4:35" x14ac:dyDescent="0.25">
      <c r="D39" s="239" t="str">
        <f>TEXT(1+D38,"00")</f>
        <v>02</v>
      </c>
      <c r="E39" s="408" t="s">
        <v>926</v>
      </c>
      <c r="F39" s="411"/>
      <c r="G39" s="409"/>
      <c r="H39" s="412"/>
      <c r="I39" s="138">
        <f>50.5+60.5+33.5+51.7</f>
        <v>196.2</v>
      </c>
      <c r="J39" s="279">
        <f>IF(ISTEXT(E39),VLOOKUP(LEFT(E39,2),'Opaque assemblies'!$C$9:$R$25,'Opaque assemblies'!$F$5,0),"")</f>
        <v>0.12660644487093178</v>
      </c>
      <c r="K39" s="284">
        <f>IF(ISTEXT(E39),VLOOKUP(LEFT(E39,2),'Opaque assemblies'!$C$9:$R$25,'Opaque assemblies'!$R$5,0),"")</f>
        <v>1</v>
      </c>
      <c r="L39" s="290">
        <f>IF(ISTEXT(E39),VLOOKUP(LEFT(E39,2),'Opaque assemblies'!$C$9:$R$25,'Opaque assemblies'!$K$5,0),"")</f>
        <v>67.674953885640249</v>
      </c>
      <c r="M39" s="290">
        <f>IF(ISTEXT(E39),VLOOKUP(LEFT(E39,2),'Opaque assemblies'!$C$9:$R$25,'Opaque assemblies'!$L$5,0),"")</f>
        <v>133.35878859738148</v>
      </c>
      <c r="N39" s="291">
        <f ca="1">IF(ISTEXT(E39),VLOOKUP(LEFT(E39,2),'Opaque assemblies'!$C$9:$R$25,'Opaque assemblies'!$M$5,0),"")</f>
        <v>49.037348561980309</v>
      </c>
      <c r="O39" s="285">
        <f t="shared" ref="O39:O49" si="3">IF(ISNUMBER(I39),I39*L39,"")</f>
        <v>13277.825952362617</v>
      </c>
      <c r="P39" s="285">
        <f t="shared" ref="P39:P48" si="4">IF(ISNUMBER(I39),I39*M39,"")</f>
        <v>26164.994322806244</v>
      </c>
      <c r="Q39" s="283">
        <f t="shared" ref="Q39:Q51" ca="1" si="5">IF(ISNUMBER(I39),I39*N39,"")</f>
        <v>9621.127787860536</v>
      </c>
      <c r="R39" s="285">
        <f t="shared" ref="R39:R49" si="6">IF(ISNUMBER(T39),T39,"")</f>
        <v>1962.3745742104682</v>
      </c>
      <c r="S39" s="19"/>
      <c r="T39" s="305">
        <f t="shared" ref="T39:T49" si="7">J39*K39*$H$6*I39</f>
        <v>1962.3745742104682</v>
      </c>
      <c r="AI39" s="358" t="str">
        <f>'Opaque assemblies'!D23</f>
        <v>15 EIFS Phenol</v>
      </c>
    </row>
    <row r="40" spans="4:35" x14ac:dyDescent="0.25">
      <c r="D40" s="239" t="str">
        <f t="shared" ref="D40:D49" si="8">TEXT(1+D39,"00")</f>
        <v>03</v>
      </c>
      <c r="E40" s="408" t="s">
        <v>928</v>
      </c>
      <c r="F40" s="411"/>
      <c r="G40" s="409"/>
      <c r="H40" s="412"/>
      <c r="I40" s="138">
        <f>47.9*2</f>
        <v>95.8</v>
      </c>
      <c r="J40" s="279">
        <f>IF(ISTEXT(E40),VLOOKUP(LEFT(E40,2),'Opaque assemblies'!$C$9:$R$25,'Opaque assemblies'!$F$5,0),"")</f>
        <v>8.8934158318004233E-2</v>
      </c>
      <c r="K40" s="284">
        <f>IF(ISTEXT(E40),VLOOKUP(LEFT(E40,2),'Opaque assemblies'!$C$9:$R$25,'Opaque assemblies'!$R$5,0),"")</f>
        <v>1</v>
      </c>
      <c r="L40" s="290">
        <f>IF(ISTEXT(E40),VLOOKUP(LEFT(E40,2),'Opaque assemblies'!$C$9:$R$25,'Opaque assemblies'!$K$5,0),"")</f>
        <v>53.546767705816407</v>
      </c>
      <c r="M40" s="290">
        <f>IF(ISTEXT(E40),VLOOKUP(LEFT(E40,2),'Opaque assemblies'!$C$9:$R$25,'Opaque assemblies'!$L$5,0),"")</f>
        <v>93.677313428297794</v>
      </c>
      <c r="N40" s="291">
        <f ca="1">IF(ISTEXT(E40),VLOOKUP(LEFT(E40,2),'Opaque assemblies'!$C$9:$R$25,'Opaque assemblies'!$M$5,0),"")</f>
        <v>1.4360844007200342</v>
      </c>
      <c r="O40" s="285">
        <f t="shared" si="3"/>
        <v>5129.7803462172114</v>
      </c>
      <c r="P40" s="285">
        <f t="shared" si="4"/>
        <v>8974.2866264309287</v>
      </c>
      <c r="Q40" s="283">
        <f t="shared" ca="1" si="5"/>
        <v>137.57688558897928</v>
      </c>
      <c r="R40" s="285">
        <f t="shared" si="6"/>
        <v>673.07149698231956</v>
      </c>
      <c r="S40" s="19"/>
      <c r="T40" s="305">
        <f t="shared" si="7"/>
        <v>673.07149698231956</v>
      </c>
      <c r="AI40" s="358" t="str">
        <f>'Opaque assemblies'!D24</f>
        <v>16 EIFS Mineral faser</v>
      </c>
    </row>
    <row r="41" spans="4:35" x14ac:dyDescent="0.25">
      <c r="D41" s="239" t="str">
        <f t="shared" si="8"/>
        <v>04</v>
      </c>
      <c r="E41" s="408" t="s">
        <v>930</v>
      </c>
      <c r="F41" s="411"/>
      <c r="G41" s="409"/>
      <c r="H41" s="412"/>
      <c r="I41" s="138">
        <v>44.5</v>
      </c>
      <c r="J41" s="279">
        <f>IF(ISTEXT(E41),VLOOKUP(LEFT(E41,2),'Opaque assemblies'!$C$9:$R$25,'Opaque assemblies'!$F$5,0),"")</f>
        <v>1.0771992818671454</v>
      </c>
      <c r="K41" s="284">
        <f>IF(ISTEXT(E41),VLOOKUP(LEFT(E41,2),'Opaque assemblies'!$C$9:$R$25,'Opaque assemblies'!$R$5,0),"")</f>
        <v>0</v>
      </c>
      <c r="L41" s="290">
        <f>IF(ISTEXT(E41),VLOOKUP(LEFT(E41,2),'Opaque assemblies'!$C$9:$R$25,'Opaque assemblies'!$K$5,0),"")</f>
        <v>35.729227504422099</v>
      </c>
      <c r="M41" s="290">
        <f>IF(ISTEXT(E41),VLOOKUP(LEFT(E41,2),'Opaque assemblies'!$C$9:$R$25,'Opaque assemblies'!$L$5,0),"")</f>
        <v>0</v>
      </c>
      <c r="N41" s="291">
        <f ca="1">IF(ISTEXT(E41),VLOOKUP(LEFT(E41,2),'Opaque assemblies'!$C$9:$R$25,'Opaque assemblies'!$M$5,0),"")</f>
        <v>15.426250673524892</v>
      </c>
      <c r="O41" s="285">
        <f t="shared" si="3"/>
        <v>1589.9506239467835</v>
      </c>
      <c r="P41" s="285">
        <f t="shared" si="4"/>
        <v>0</v>
      </c>
      <c r="Q41" s="283">
        <f t="shared" ca="1" si="5"/>
        <v>686.46815497185776</v>
      </c>
      <c r="R41" s="285">
        <f t="shared" si="6"/>
        <v>0</v>
      </c>
      <c r="S41" s="19"/>
      <c r="T41" s="305">
        <f t="shared" si="7"/>
        <v>0</v>
      </c>
      <c r="AI41" s="358" t="str">
        <f>'Opaque assemblies'!D25</f>
        <v>17 Test</v>
      </c>
    </row>
    <row r="42" spans="4:35" x14ac:dyDescent="0.25">
      <c r="D42" s="239" t="str">
        <f t="shared" si="8"/>
        <v>05</v>
      </c>
      <c r="E42" s="408" t="s">
        <v>940</v>
      </c>
      <c r="F42" s="411"/>
      <c r="G42" s="409"/>
      <c r="H42" s="412"/>
      <c r="I42" s="138">
        <f>2*I38</f>
        <v>166</v>
      </c>
      <c r="J42" s="279">
        <f>IF(ISTEXT(E42),VLOOKUP(LEFT(E42,2),'Opaque assemblies'!$C$9:$R$25,'Opaque assemblies'!$F$5,0),"")</f>
        <v>0.27340338390934299</v>
      </c>
      <c r="K42" s="284">
        <f>IF(ISTEXT(E42),VLOOKUP(LEFT(E42,2),'Opaque assemblies'!$C$9:$R$25,'Opaque assemblies'!$R$5,0),"")</f>
        <v>0</v>
      </c>
      <c r="L42" s="290">
        <f>IF(ISTEXT(E42),VLOOKUP(LEFT(E42,2),'Opaque assemblies'!$C$9:$R$25,'Opaque assemblies'!$K$5,0),"")</f>
        <v>56.44323484194647</v>
      </c>
      <c r="M42" s="290">
        <f>IF(ISTEXT(E42),VLOOKUP(LEFT(E42,2),'Opaque assemblies'!$C$9:$R$25,'Opaque assemblies'!$L$5,0),"")</f>
        <v>0</v>
      </c>
      <c r="N42" s="291">
        <f ca="1">IF(ISTEXT(E42),VLOOKUP(LEFT(E42,2),'Opaque assemblies'!$C$9:$R$25,'Opaque assemblies'!$M$5,0),"")</f>
        <v>22.593254496182151</v>
      </c>
      <c r="O42" s="285">
        <f t="shared" si="3"/>
        <v>9369.5769837631142</v>
      </c>
      <c r="P42" s="285">
        <f t="shared" si="4"/>
        <v>0</v>
      </c>
      <c r="Q42" s="283">
        <f t="shared" ca="1" si="5"/>
        <v>3750.4802463662372</v>
      </c>
      <c r="R42" s="285">
        <f t="shared" si="6"/>
        <v>0</v>
      </c>
      <c r="S42" s="19"/>
      <c r="T42" s="305">
        <f t="shared" si="7"/>
        <v>0</v>
      </c>
      <c r="AI42" s="358"/>
    </row>
    <row r="43" spans="4:35" collapsed="1" x14ac:dyDescent="0.25">
      <c r="D43" s="239" t="str">
        <f t="shared" si="8"/>
        <v>06</v>
      </c>
      <c r="E43" s="408" t="s">
        <v>942</v>
      </c>
      <c r="F43" s="411"/>
      <c r="G43" s="409"/>
      <c r="H43" s="412"/>
      <c r="I43" s="79">
        <f>(3.8+3.2+3.2+1.6)*2.5*2</f>
        <v>58.999999999999993</v>
      </c>
      <c r="J43" s="279">
        <f>IF(ISTEXT(E43),VLOOKUP(LEFT(E43,2),'Opaque assemblies'!$C$9:$R$25,'Opaque assemblies'!$F$5,0),"")</f>
        <v>2.9363784665579118</v>
      </c>
      <c r="K43" s="284">
        <f>IF(ISTEXT(E43),VLOOKUP(LEFT(E43,2),'Opaque assemblies'!$C$9:$R$25,'Opaque assemblies'!$R$5,0),"")</f>
        <v>0</v>
      </c>
      <c r="L43" s="290">
        <f>IF(ISTEXT(E43),VLOOKUP(LEFT(E43,2),'Opaque assemblies'!$C$9:$R$25,'Opaque assemblies'!$K$5,0),"")</f>
        <v>26.888569929538704</v>
      </c>
      <c r="M43" s="290">
        <f>IF(ISTEXT(E43),VLOOKUP(LEFT(E43,2),'Opaque assemblies'!$C$9:$R$25,'Opaque assemblies'!$L$5,0),"")</f>
        <v>0</v>
      </c>
      <c r="N43" s="291">
        <f ca="1">IF(ISTEXT(E43),VLOOKUP(LEFT(E43,2),'Opaque assemblies'!$C$9:$R$25,'Opaque assemblies'!$M$5,0),"")</f>
        <v>10.475915614348221</v>
      </c>
      <c r="O43" s="285">
        <f t="shared" si="3"/>
        <v>1586.4256258427833</v>
      </c>
      <c r="P43" s="285">
        <f t="shared" si="4"/>
        <v>0</v>
      </c>
      <c r="Q43" s="283">
        <f t="shared" ca="1" si="5"/>
        <v>618.07902124654493</v>
      </c>
      <c r="R43" s="285">
        <f t="shared" si="6"/>
        <v>0</v>
      </c>
      <c r="S43" s="19"/>
      <c r="T43" s="305">
        <f t="shared" si="7"/>
        <v>0</v>
      </c>
    </row>
    <row r="44" spans="4:35" hidden="1" outlineLevel="1" x14ac:dyDescent="0.25">
      <c r="D44" s="239" t="str">
        <f t="shared" si="8"/>
        <v>07</v>
      </c>
      <c r="E44" s="408"/>
      <c r="F44" s="411"/>
      <c r="G44" s="409"/>
      <c r="H44" s="412"/>
      <c r="I44" s="79"/>
      <c r="J44" s="279" t="str">
        <f>IF(ISTEXT(E44),VLOOKUP(LEFT(E44,2),'Opaque assemblies'!$C$9:$R$25,'Opaque assemblies'!$F$5,0),"")</f>
        <v/>
      </c>
      <c r="K44" s="284" t="str">
        <f>IF(ISTEXT(E44),VLOOKUP(LEFT(E44,2),'Opaque assemblies'!$C$9:$R$25,'Opaque assemblies'!$R$5,0),"")</f>
        <v/>
      </c>
      <c r="L44" s="290" t="str">
        <f>IF(ISTEXT(E44),VLOOKUP(LEFT(E44,2),'Opaque assemblies'!$C$9:$R$25,'Opaque assemblies'!$K$5,0),"")</f>
        <v/>
      </c>
      <c r="M44" s="290" t="str">
        <f>IF(ISTEXT(E44),VLOOKUP(LEFT(E44,2),'Opaque assemblies'!$C$9:$R$25,'Opaque assemblies'!$L$5,0),"")</f>
        <v/>
      </c>
      <c r="N44" s="291" t="str">
        <f>IF(ISTEXT(E44),VLOOKUP(LEFT(E44,2),'Opaque assemblies'!$C$9:$R$25,'Opaque assemblies'!$M$5,0),"")</f>
        <v/>
      </c>
      <c r="O44" s="285" t="str">
        <f t="shared" si="3"/>
        <v/>
      </c>
      <c r="P44" s="285" t="str">
        <f t="shared" si="4"/>
        <v/>
      </c>
      <c r="Q44" s="283" t="str">
        <f t="shared" si="5"/>
        <v/>
      </c>
      <c r="R44" s="285" t="str">
        <f t="shared" si="6"/>
        <v/>
      </c>
      <c r="S44" s="19"/>
      <c r="T44" s="305" t="e">
        <f t="shared" si="7"/>
        <v>#VALUE!</v>
      </c>
      <c r="AI44" s="358"/>
    </row>
    <row r="45" spans="4:35" hidden="1" outlineLevel="1" x14ac:dyDescent="0.25">
      <c r="D45" s="239" t="str">
        <f t="shared" si="8"/>
        <v>08</v>
      </c>
      <c r="E45" s="408"/>
      <c r="F45" s="411"/>
      <c r="G45" s="409"/>
      <c r="H45" s="412"/>
      <c r="I45" s="79"/>
      <c r="J45" s="279" t="str">
        <f>IF(ISTEXT(E45),VLOOKUP(LEFT(E45,2),'Opaque assemblies'!$C$9:$R$25,'Opaque assemblies'!$F$5,0),"")</f>
        <v/>
      </c>
      <c r="K45" s="284" t="str">
        <f>IF(ISTEXT(E45),VLOOKUP(LEFT(E45,2),'Opaque assemblies'!$C$9:$R$25,'Opaque assemblies'!$R$5,0),"")</f>
        <v/>
      </c>
      <c r="L45" s="290" t="str">
        <f>IF(ISTEXT(E45),VLOOKUP(LEFT(E45,2),'Opaque assemblies'!$C$9:$R$25,'Opaque assemblies'!$K$5,0),"")</f>
        <v/>
      </c>
      <c r="M45" s="290" t="str">
        <f>IF(ISTEXT(E45),VLOOKUP(LEFT(E45,2),'Opaque assemblies'!$C$9:$R$25,'Opaque assemblies'!$L$5,0),"")</f>
        <v/>
      </c>
      <c r="N45" s="291" t="str">
        <f>IF(ISTEXT(E45),VLOOKUP(LEFT(E45,2),'Opaque assemblies'!$C$9:$R$25,'Opaque assemblies'!$M$5,0),"")</f>
        <v/>
      </c>
      <c r="O45" s="285" t="str">
        <f t="shared" si="3"/>
        <v/>
      </c>
      <c r="P45" s="285" t="str">
        <f t="shared" si="4"/>
        <v/>
      </c>
      <c r="Q45" s="283" t="str">
        <f t="shared" si="5"/>
        <v/>
      </c>
      <c r="R45" s="285" t="str">
        <f t="shared" si="6"/>
        <v/>
      </c>
      <c r="S45" s="19"/>
      <c r="T45" s="305" t="e">
        <f t="shared" si="7"/>
        <v>#VALUE!</v>
      </c>
    </row>
    <row r="46" spans="4:35" hidden="1" outlineLevel="1" x14ac:dyDescent="0.25">
      <c r="D46" s="239" t="str">
        <f t="shared" si="8"/>
        <v>09</v>
      </c>
      <c r="E46" s="408"/>
      <c r="F46" s="411"/>
      <c r="G46" s="409"/>
      <c r="H46" s="412"/>
      <c r="I46" s="79"/>
      <c r="J46" s="279" t="str">
        <f>IF(ISTEXT(E46),VLOOKUP(LEFT(E46,2),'Opaque assemblies'!$C$9:$R$25,'Opaque assemblies'!$F$5,0),"")</f>
        <v/>
      </c>
      <c r="K46" s="284" t="str">
        <f>IF(ISTEXT(E46),VLOOKUP(LEFT(E46,2),'Opaque assemblies'!$C$9:$R$25,'Opaque assemblies'!$R$5,0),"")</f>
        <v/>
      </c>
      <c r="L46" s="290" t="str">
        <f>IF(ISTEXT(E46),VLOOKUP(LEFT(E46,2),'Opaque assemblies'!$C$9:$R$25,'Opaque assemblies'!$K$5,0),"")</f>
        <v/>
      </c>
      <c r="M46" s="290" t="str">
        <f>IF(ISTEXT(E46),VLOOKUP(LEFT(E46,2),'Opaque assemblies'!$C$9:$R$25,'Opaque assemblies'!$L$5,0),"")</f>
        <v/>
      </c>
      <c r="N46" s="291" t="str">
        <f>IF(ISTEXT(E46),VLOOKUP(LEFT(E46,2),'Opaque assemblies'!$C$9:$R$25,'Opaque assemblies'!$M$5,0),"")</f>
        <v/>
      </c>
      <c r="O46" s="285" t="str">
        <f t="shared" si="3"/>
        <v/>
      </c>
      <c r="P46" s="285" t="str">
        <f t="shared" si="4"/>
        <v/>
      </c>
      <c r="Q46" s="283" t="str">
        <f t="shared" si="5"/>
        <v/>
      </c>
      <c r="R46" s="285" t="str">
        <f t="shared" si="6"/>
        <v/>
      </c>
      <c r="S46" s="19"/>
      <c r="T46" s="305" t="e">
        <f t="shared" si="7"/>
        <v>#VALUE!</v>
      </c>
    </row>
    <row r="47" spans="4:35" hidden="1" outlineLevel="1" x14ac:dyDescent="0.25">
      <c r="D47" s="239" t="str">
        <f t="shared" si="8"/>
        <v>10</v>
      </c>
      <c r="E47" s="408"/>
      <c r="F47" s="411"/>
      <c r="G47" s="409"/>
      <c r="H47" s="412"/>
      <c r="I47" s="79"/>
      <c r="J47" s="279" t="str">
        <f>IF(ISTEXT(E47),VLOOKUP(LEFT(E47,2),'Opaque assemblies'!$C$9:$R$25,'Opaque assemblies'!$F$5,0),"")</f>
        <v/>
      </c>
      <c r="K47" s="284" t="str">
        <f>IF(ISTEXT(E47),VLOOKUP(LEFT(E47,2),'Opaque assemblies'!$C$9:$R$25,'Opaque assemblies'!$R$5,0),"")</f>
        <v/>
      </c>
      <c r="L47" s="290" t="str">
        <f>IF(ISTEXT(E47),VLOOKUP(LEFT(E47,2),'Opaque assemblies'!$C$9:$R$25,'Opaque assemblies'!$K$5,0),"")</f>
        <v/>
      </c>
      <c r="M47" s="290" t="str">
        <f>IF(ISTEXT(E47),VLOOKUP(LEFT(E47,2),'Opaque assemblies'!$C$9:$R$25,'Opaque assemblies'!$L$5,0),"")</f>
        <v/>
      </c>
      <c r="N47" s="291" t="str">
        <f>IF(ISTEXT(E47),VLOOKUP(LEFT(E47,2),'Opaque assemblies'!$C$9:$R$25,'Opaque assemblies'!$M$5,0),"")</f>
        <v/>
      </c>
      <c r="O47" s="285" t="str">
        <f t="shared" si="3"/>
        <v/>
      </c>
      <c r="P47" s="285" t="str">
        <f t="shared" si="4"/>
        <v/>
      </c>
      <c r="Q47" s="283" t="str">
        <f t="shared" si="5"/>
        <v/>
      </c>
      <c r="R47" s="285" t="str">
        <f t="shared" si="6"/>
        <v/>
      </c>
      <c r="S47" s="19"/>
      <c r="T47" s="305" t="e">
        <f t="shared" si="7"/>
        <v>#VALUE!</v>
      </c>
    </row>
    <row r="48" spans="4:35" hidden="1" outlineLevel="1" x14ac:dyDescent="0.25">
      <c r="D48" s="239" t="str">
        <f t="shared" si="8"/>
        <v>11</v>
      </c>
      <c r="E48" s="408"/>
      <c r="F48" s="411"/>
      <c r="G48" s="409"/>
      <c r="H48" s="412"/>
      <c r="I48" s="79"/>
      <c r="J48" s="279" t="str">
        <f>IF(ISTEXT(E48),VLOOKUP(LEFT(E48,2),'Opaque assemblies'!$C$9:$R$25,'Opaque assemblies'!$F$5,0),"")</f>
        <v/>
      </c>
      <c r="K48" s="284" t="str">
        <f>IF(ISTEXT(E48),VLOOKUP(LEFT(E48,2),'Opaque assemblies'!$C$9:$R$25,'Opaque assemblies'!$R$5,0),"")</f>
        <v/>
      </c>
      <c r="L48" s="290" t="str">
        <f>IF(ISTEXT(E48),VLOOKUP(LEFT(E48,2),'Opaque assemblies'!$C$9:$R$25,'Opaque assemblies'!$K$5,0),"")</f>
        <v/>
      </c>
      <c r="M48" s="290" t="str">
        <f>IF(ISTEXT(E48),VLOOKUP(LEFT(E48,2),'Opaque assemblies'!$C$9:$R$25,'Opaque assemblies'!$L$5,0),"")</f>
        <v/>
      </c>
      <c r="N48" s="291" t="str">
        <f>IF(ISTEXT(E48),VLOOKUP(LEFT(E48,2),'Opaque assemblies'!$C$9:$R$25,'Opaque assemblies'!$M$5,0),"")</f>
        <v/>
      </c>
      <c r="O48" s="285" t="str">
        <f t="shared" si="3"/>
        <v/>
      </c>
      <c r="P48" s="285" t="str">
        <f t="shared" si="4"/>
        <v/>
      </c>
      <c r="Q48" s="283" t="str">
        <f t="shared" si="5"/>
        <v/>
      </c>
      <c r="R48" s="285" t="str">
        <f t="shared" si="6"/>
        <v/>
      </c>
      <c r="S48" s="19"/>
      <c r="T48" s="305" t="e">
        <f t="shared" si="7"/>
        <v>#VALUE!</v>
      </c>
    </row>
    <row r="49" spans="4:36" x14ac:dyDescent="0.25">
      <c r="D49" s="239" t="str">
        <f t="shared" si="8"/>
        <v>12</v>
      </c>
      <c r="E49" s="408"/>
      <c r="F49" s="411"/>
      <c r="G49" s="409"/>
      <c r="H49" s="412"/>
      <c r="I49" s="79"/>
      <c r="J49" s="279" t="str">
        <f>IF(ISTEXT(E49),VLOOKUP(LEFT(E49,2),'Opaque assemblies'!$C$9:$R$25,'Opaque assemblies'!$F$5,0),"")</f>
        <v/>
      </c>
      <c r="K49" s="284" t="str">
        <f>IF(ISTEXT(E49),VLOOKUP(LEFT(E49,2),'Opaque assemblies'!$C$9:$R$25,'Opaque assemblies'!$R$5,0),"")</f>
        <v/>
      </c>
      <c r="L49" s="290" t="str">
        <f>IF(ISTEXT(E49),VLOOKUP(LEFT(E49,2),'Opaque assemblies'!$C$9:$R$25,'Opaque assemblies'!$K$5,0),"")</f>
        <v/>
      </c>
      <c r="M49" s="290" t="str">
        <f>IF(ISTEXT(E49),VLOOKUP(LEFT(E49,2),'Opaque assemblies'!$C$9:$R$25,'Opaque assemblies'!$L$5,0),"")</f>
        <v/>
      </c>
      <c r="N49" s="291" t="str">
        <f>IF(ISTEXT(E49),VLOOKUP(LEFT(E49,2),'Opaque assemblies'!$C$9:$R$25,'Opaque assemblies'!$M$5,0),"")</f>
        <v/>
      </c>
      <c r="O49" s="285" t="str">
        <f t="shared" si="3"/>
        <v/>
      </c>
      <c r="P49" s="285" t="str">
        <f>IF(ISNUMBER(I49),I49*M49,"")</f>
        <v/>
      </c>
      <c r="Q49" s="283" t="str">
        <f t="shared" si="5"/>
        <v/>
      </c>
      <c r="R49" s="285" t="str">
        <f t="shared" si="6"/>
        <v/>
      </c>
      <c r="S49" s="19"/>
      <c r="T49" s="305" t="e">
        <f t="shared" si="7"/>
        <v>#VALUE!</v>
      </c>
      <c r="U49" s="297" t="s">
        <v>920</v>
      </c>
      <c r="V49" s="297" t="s">
        <v>919</v>
      </c>
      <c r="W49" s="297" t="s">
        <v>645</v>
      </c>
      <c r="X49" s="297" t="str">
        <f>Balance!$G$16</f>
        <v>Heat pump</v>
      </c>
      <c r="Y49" s="297" t="str">
        <f>Data!$D$4</f>
        <v>Heat pump</v>
      </c>
      <c r="Z49" s="297" t="str">
        <f>Data!$D$5</f>
        <v>Direct electric</v>
      </c>
      <c r="AA49" s="297" t="str">
        <f>Data!$D$6</f>
        <v>Gas boiler</v>
      </c>
      <c r="AB49" s="297" t="str">
        <f>Data!$D$7</f>
        <v>Biomass</v>
      </c>
      <c r="AC49" s="297" t="str">
        <f>Balance!$G$16</f>
        <v>Heat pump</v>
      </c>
      <c r="AD49" s="297" t="str">
        <f>Data!$D$4</f>
        <v>Heat pump</v>
      </c>
      <c r="AE49" s="297" t="str">
        <f>Data!$D$5</f>
        <v>Direct electric</v>
      </c>
      <c r="AF49" s="297" t="str">
        <f>Data!$D$6</f>
        <v>Gas boiler</v>
      </c>
      <c r="AG49" s="297" t="str">
        <f>Data!$D$7</f>
        <v>Biomass</v>
      </c>
    </row>
    <row r="50" spans="4:36" x14ac:dyDescent="0.25">
      <c r="D50" s="239"/>
      <c r="E50" s="20"/>
      <c r="F50" s="20"/>
      <c r="G50" s="20"/>
      <c r="H50" s="300" t="s">
        <v>908</v>
      </c>
      <c r="I50" s="284">
        <f>SUMIF(K38:K49,K50,I38:I49)</f>
        <v>292</v>
      </c>
      <c r="J50" s="93">
        <v>-1.4E-2</v>
      </c>
      <c r="K50" s="284">
        <v>1</v>
      </c>
      <c r="L50" s="299"/>
      <c r="M50" s="290">
        <f>IF(ISNUMBER(X50),X50*$H$13/I50,"")</f>
        <v>-14.74666666666667</v>
      </c>
      <c r="N50" s="291">
        <f ca="1">IF(ISNUMBER(AC50),AC50*$H$13/I50,"")</f>
        <v>-2.7854814814814821</v>
      </c>
      <c r="O50" s="142"/>
      <c r="P50" s="285">
        <f>IF(ISNUMBER(I50),I50*M50,"")</f>
        <v>-4306.0266666666676</v>
      </c>
      <c r="Q50" s="283">
        <f t="shared" ca="1" si="5"/>
        <v>-813.36059259259275</v>
      </c>
      <c r="R50" s="285">
        <f>IF(ISNUMBER(T50),T50,"")</f>
        <v>-322.95200000000006</v>
      </c>
      <c r="S50" s="19"/>
      <c r="T50" s="305">
        <f>IF(ISNUMBER(J50),J50*$H$6*K50*I50,"")</f>
        <v>-322.95200000000006</v>
      </c>
      <c r="U50" s="217"/>
      <c r="V50" s="217"/>
      <c r="W50" s="294">
        <f>T50</f>
        <v>-322.95200000000006</v>
      </c>
      <c r="X50" s="219">
        <f>IF(ISNUMBER(W50),IF($X$57=$Y$57,Y50,IF($X$57=$Z$57,Z50,IF($X$57=$AA$57,AA50,IF($X$57=$AB$57,AB50,"Error")))),"")</f>
        <v>-215.30133333333336</v>
      </c>
      <c r="Y50" s="217">
        <f>W50/(Balance!$H$17*Balance!$H$18*Balance!$H$19)*Balance!$H$22</f>
        <v>-215.30133333333336</v>
      </c>
      <c r="Z50" s="217">
        <f>W50/Balance!$H$18*Balance!$H$22</f>
        <v>-581.31360000000006</v>
      </c>
      <c r="AA50" s="217">
        <f>W50/(Balance!$H$18*Balance!$H$19)*Balance!$H$23</f>
        <v>-627.96222222222241</v>
      </c>
      <c r="AB50" s="218">
        <f>W50/(Balance!$H$18*Balance!$H$19)*Balance!$H$24</f>
        <v>-394.7191111111112</v>
      </c>
      <c r="AC50" s="219">
        <f ca="1">IF(ISNUMBER(W50),IF($AC$57=$AD$57,AD50,IF($AC$57=$AE$57,AE50,IF($AC$57=$AF$57,AF50,IF($AC$57=$AG$57,AG50,"Error")))),"")</f>
        <v>-40.668029629629636</v>
      </c>
      <c r="AD50" s="217">
        <f ca="1">W50/(Balance!$H$17*Balance!$H$18*Balance!$H$19)*Balance!$G$22/1000</f>
        <v>-40.668029629629636</v>
      </c>
      <c r="AE50" s="217">
        <f ca="1">W50/Balance!$H$18*Balance!$G$22/1000</f>
        <v>-109.80368000000003</v>
      </c>
      <c r="AF50" s="217">
        <f ca="1">W50/(Balance!$H$18*Balance!$H$19)*Balance!$G$23/1000</f>
        <v>-89.495296296296274</v>
      </c>
      <c r="AG50" s="218">
        <f ca="1">W50/(Balance!$H$18*Balance!$H$19)*Balance!$G$24/1000</f>
        <v>-7.6252555555555572</v>
      </c>
    </row>
    <row r="51" spans="4:36" x14ac:dyDescent="0.25">
      <c r="D51" s="239"/>
      <c r="E51" s="20"/>
      <c r="F51" s="20"/>
      <c r="G51" s="20"/>
      <c r="H51" s="301" t="s">
        <v>908</v>
      </c>
      <c r="I51" s="284">
        <f>SUMIF(K38:K49,K51,I38:I49)</f>
        <v>83</v>
      </c>
      <c r="J51" s="93">
        <v>1E-3</v>
      </c>
      <c r="K51" s="284">
        <v>0.6</v>
      </c>
      <c r="L51" s="206"/>
      <c r="M51" s="290">
        <f>IF(ISNUMBER(X51),X51*$H$13/I51,"")</f>
        <v>0.6319999999999999</v>
      </c>
      <c r="N51" s="291">
        <f ca="1">IF(ISNUMBER(AC51),AC51*$H$13/I51,"")</f>
        <v>0.11937777777777776</v>
      </c>
      <c r="O51" s="142"/>
      <c r="P51" s="285">
        <f>IF(ISNUMBER(I51),I51*M51,"")</f>
        <v>52.455999999999989</v>
      </c>
      <c r="Q51" s="283">
        <f t="shared" ca="1" si="5"/>
        <v>9.9083555555555538</v>
      </c>
      <c r="R51" s="142">
        <f t="shared" ref="R51:R52" si="9">IF(ISNUMBER(T51),T51,"")</f>
        <v>3.9341999999999997</v>
      </c>
      <c r="S51" s="19"/>
      <c r="T51" s="305">
        <f t="shared" ref="T51:T52" si="10">IF(ISNUMBER(J51),J51*$H$6*K51*I51,"")</f>
        <v>3.9341999999999997</v>
      </c>
      <c r="U51" s="217"/>
      <c r="V51" s="217"/>
      <c r="W51" s="294">
        <f>T51</f>
        <v>3.9341999999999997</v>
      </c>
      <c r="X51" s="219">
        <f>IF(ISNUMBER(W51),IF($X$57=$Y$57,Y51,IF($X$57=$Z$57,Z51,IF($X$57=$AA$57,AA51,IF($X$57=$AB$57,AB51,"Error")))),"")</f>
        <v>2.6227999999999994</v>
      </c>
      <c r="Y51" s="217">
        <f>W51/(Balance!$H$17*Balance!$H$18*Balance!$H$19)*Balance!$H$22</f>
        <v>2.6227999999999994</v>
      </c>
      <c r="Z51" s="217">
        <f>W51/Balance!$H$18*Balance!$H$22</f>
        <v>7.0815599999999996</v>
      </c>
      <c r="AA51" s="217">
        <f>W51/(Balance!$H$18*Balance!$H$19)*Balance!$H$23</f>
        <v>7.6498333333333335</v>
      </c>
      <c r="AB51" s="218">
        <f>W51/(Balance!$H$18*Balance!$H$19)*Balance!$H$24</f>
        <v>4.8084666666666669</v>
      </c>
      <c r="AC51" s="219">
        <f ca="1">IF(ISNUMBER(W51),IF($AC$57=$AD$57,AD51,IF($AC$57=$AE$57,AE51,IF($AC$57=$AF$57,AF51,IF($AC$57=$AG$57,AG51,"Error")))),"")</f>
        <v>0.49541777777777768</v>
      </c>
      <c r="AD51" s="217">
        <f ca="1">W51/(Balance!$H$17*Balance!$H$18*Balance!$H$19)*Balance!$G$22/1000</f>
        <v>0.49541777777777768</v>
      </c>
      <c r="AE51" s="217">
        <f ca="1">W51/Balance!$H$18*Balance!$G$22/1000</f>
        <v>1.337628</v>
      </c>
      <c r="AF51" s="217">
        <f ca="1">W51/(Balance!$H$18*Balance!$H$19)*Balance!$G$23/1000</f>
        <v>1.0902313492063489</v>
      </c>
      <c r="AG51" s="218">
        <f ca="1">W51/(Balance!$H$18*Balance!$H$19)*Balance!$G$24/1000</f>
        <v>9.2890833333333339E-2</v>
      </c>
    </row>
    <row r="52" spans="4:36" x14ac:dyDescent="0.25">
      <c r="D52" s="239"/>
      <c r="E52" s="20"/>
      <c r="F52" s="20"/>
      <c r="G52" s="20"/>
      <c r="H52" s="301" t="s">
        <v>918</v>
      </c>
      <c r="I52" s="284">
        <f>V52+I70</f>
        <v>45.756</v>
      </c>
      <c r="J52" s="93">
        <v>2.4E-2</v>
      </c>
      <c r="K52" s="284">
        <v>1</v>
      </c>
      <c r="L52" s="328"/>
      <c r="M52" s="328">
        <f t="shared" ref="M52" si="11">IF(ISNUMBER(X52),X52*$H$13/I52,"")</f>
        <v>25.279999999999998</v>
      </c>
      <c r="N52" s="331">
        <f ca="1">IF(ISNUMBER(AC52),AC52*$H$13/I52,"")</f>
        <v>4.7751111111111104</v>
      </c>
      <c r="O52" s="329"/>
      <c r="P52" s="320">
        <f>IF(ISNUMBER(I52),I52*M52,"")</f>
        <v>1156.7116799999999</v>
      </c>
      <c r="Q52" s="330">
        <f ca="1">IF(ISNUMBER(I52),I52*N52,"")</f>
        <v>218.48998399999996</v>
      </c>
      <c r="R52" s="329">
        <f t="shared" si="9"/>
        <v>86.753376000000003</v>
      </c>
      <c r="S52" s="19"/>
      <c r="T52" s="305">
        <f t="shared" si="10"/>
        <v>86.753376000000003</v>
      </c>
      <c r="U52" s="217">
        <f>SUMPRODUCT(I75:I86,K75:K86)/I87</f>
        <v>8.5999999999999993E-2</v>
      </c>
      <c r="V52" s="217">
        <f>U52*I87</f>
        <v>6.9659999999999993</v>
      </c>
      <c r="W52" s="294">
        <f>T52</f>
        <v>86.753376000000003</v>
      </c>
      <c r="X52" s="219">
        <f>IF(ISNUMBER(W52),IF($X$57=$Y$57,Y52,IF($X$57=$Z$57,Z52,IF($X$57=$AA$57,AA52,IF($X$57=$AB$57,AB52,"Error")))),"")</f>
        <v>57.835583999999997</v>
      </c>
      <c r="Y52" s="217">
        <f>W52/(Balance!$H$17*Balance!$H$18*Balance!$H$19)*Balance!$H$22</f>
        <v>57.835583999999997</v>
      </c>
      <c r="Z52" s="217">
        <f>W52/Balance!$H$18*Balance!$H$22</f>
        <v>156.15607680000002</v>
      </c>
      <c r="AA52" s="217">
        <f>W52/(Balance!$H$18*Balance!$H$19)*Balance!$H$23</f>
        <v>168.68711999999999</v>
      </c>
      <c r="AB52" s="218">
        <f>W52/(Balance!$H$18*Balance!$H$19)*Balance!$H$24</f>
        <v>106.03190400000001</v>
      </c>
      <c r="AC52" s="219">
        <f ca="1">IF(ISNUMBER(W52),IF($AC$57=$AD$57,AD52,IF($AC$57=$AE$57,AE52,IF($AC$57=$AF$57,AF52,IF($AC$57=$AG$57,AG52,"Error")))),"")</f>
        <v>10.924499199999998</v>
      </c>
      <c r="AD52" s="217">
        <f ca="1">W52/(Balance!$H$17*Balance!$H$18*Balance!$H$19)*Balance!$G$22/1000</f>
        <v>10.924499199999998</v>
      </c>
      <c r="AE52" s="217">
        <f ca="1">W52/Balance!$H$18*Balance!$G$22/1000</f>
        <v>29.496147840000003</v>
      </c>
      <c r="AF52" s="217">
        <f ca="1">W52/(Balance!$H$18*Balance!$H$19)*Balance!$G$23/1000</f>
        <v>24.040783428571419</v>
      </c>
      <c r="AG52" s="218">
        <f ca="1">W52/(Balance!$H$18*Balance!$H$19)*Balance!$G$24/1000</f>
        <v>2.0483435999999999</v>
      </c>
    </row>
    <row r="53" spans="4:36" x14ac:dyDescent="0.25">
      <c r="D53" s="18"/>
      <c r="E53" s="20"/>
      <c r="F53" s="20"/>
      <c r="G53" s="20"/>
      <c r="H53" s="20"/>
      <c r="I53" s="20"/>
      <c r="J53" s="229"/>
      <c r="K53" s="229" t="s">
        <v>905</v>
      </c>
      <c r="L53" s="228"/>
      <c r="M53" s="228"/>
      <c r="N53" s="228"/>
      <c r="O53" s="327">
        <f>SUM(O38:O51)</f>
        <v>36994.637347047523</v>
      </c>
      <c r="P53" s="322">
        <f>SUM(P38:P51)</f>
        <v>37066.483316845763</v>
      </c>
      <c r="Q53" s="322">
        <f ca="1">SUM(Q38:Q51)</f>
        <v>17290.658069455843</v>
      </c>
      <c r="R53" s="322">
        <f>SUM(R38:R51)</f>
        <v>2779.9862487634314</v>
      </c>
      <c r="S53" s="19"/>
    </row>
    <row r="54" spans="4:36" ht="18" x14ac:dyDescent="0.35">
      <c r="D54" s="18"/>
      <c r="E54" s="20"/>
      <c r="F54" s="20"/>
      <c r="G54" s="20"/>
      <c r="H54" s="20"/>
      <c r="I54" s="20"/>
      <c r="J54" s="20"/>
      <c r="K54" s="24" t="s">
        <v>909</v>
      </c>
      <c r="L54" s="228"/>
      <c r="M54" s="228"/>
      <c r="N54" s="228"/>
      <c r="O54" s="212">
        <f>O53/$H$26</f>
        <v>231.21648341904702</v>
      </c>
      <c r="P54" s="303">
        <f>P53/$H$26</f>
        <v>231.665520730286</v>
      </c>
      <c r="Q54" s="303">
        <f ca="1">Q53/$H$26</f>
        <v>108.06661293409903</v>
      </c>
      <c r="R54" s="303">
        <f>R53/$H$26</f>
        <v>17.374914054771445</v>
      </c>
      <c r="S54" s="19"/>
    </row>
    <row r="55" spans="4:36" x14ac:dyDescent="0.25">
      <c r="D55" s="18"/>
      <c r="E55" s="20"/>
      <c r="F55" s="20"/>
      <c r="G55" s="20"/>
      <c r="H55" s="20"/>
      <c r="I55" s="20"/>
      <c r="J55" s="20"/>
      <c r="K55" s="20"/>
      <c r="L55" s="228"/>
      <c r="M55" s="228"/>
      <c r="N55" s="228"/>
      <c r="O55" s="20"/>
      <c r="P55" s="20"/>
      <c r="Q55" s="20"/>
      <c r="R55" s="20"/>
      <c r="S55" s="19"/>
    </row>
    <row r="56" spans="4:36" ht="30.75" customHeight="1" x14ac:dyDescent="0.25">
      <c r="D56" s="18"/>
      <c r="E56" s="308" t="s">
        <v>561</v>
      </c>
      <c r="F56" s="20"/>
      <c r="G56" s="20"/>
      <c r="H56" s="292" t="s">
        <v>641</v>
      </c>
      <c r="I56" s="292" t="s">
        <v>892</v>
      </c>
      <c r="J56" s="292" t="str">
        <f>J36</f>
        <v>U-value</v>
      </c>
      <c r="K56" s="292" t="s">
        <v>903</v>
      </c>
      <c r="L56" s="293" t="str">
        <f>L36</f>
        <v>Energy construction</v>
      </c>
      <c r="M56" s="293" t="str">
        <f>M36</f>
        <v>Energy service</v>
      </c>
      <c r="N56" s="293" t="str">
        <f>N36</f>
        <v>GWP total</v>
      </c>
      <c r="O56" s="292" t="str">
        <f>L56</f>
        <v>Energy construction</v>
      </c>
      <c r="P56" s="292" t="str">
        <f t="shared" ref="P56" si="12">M56</f>
        <v>Energy service</v>
      </c>
      <c r="Q56" s="292" t="str">
        <f t="shared" ref="Q56" si="13">N56</f>
        <v>GWP total</v>
      </c>
      <c r="R56" s="292" t="s">
        <v>953</v>
      </c>
      <c r="S56" s="19"/>
      <c r="X56" s="201" t="s">
        <v>374</v>
      </c>
      <c r="AB56" s="214"/>
      <c r="AC56" s="201" t="s">
        <v>149</v>
      </c>
      <c r="AG56" s="214"/>
      <c r="AI56" s="217"/>
      <c r="AJ56" s="206">
        <v>2</v>
      </c>
    </row>
    <row r="57" spans="4:36" x14ac:dyDescent="0.25">
      <c r="D57" s="18"/>
      <c r="E57" s="20"/>
      <c r="F57" s="20"/>
      <c r="G57" s="20"/>
      <c r="H57" s="20"/>
      <c r="I57" s="120" t="s">
        <v>58</v>
      </c>
      <c r="J57" s="120" t="str">
        <f>J37</f>
        <v>W/(m²K)</v>
      </c>
      <c r="K57" s="120" t="s">
        <v>604</v>
      </c>
      <c r="L57" s="296" t="str">
        <f>L37</f>
        <v>kWh/m²</v>
      </c>
      <c r="M57" s="203" t="str">
        <f>M37</f>
        <v>kWh/m²</v>
      </c>
      <c r="N57" s="203" t="s">
        <v>901</v>
      </c>
      <c r="O57" s="120" t="s">
        <v>900</v>
      </c>
      <c r="P57" s="120" t="s">
        <v>900</v>
      </c>
      <c r="Q57" s="120" t="s">
        <v>902</v>
      </c>
      <c r="R57" s="120" t="s">
        <v>952</v>
      </c>
      <c r="S57" s="19"/>
      <c r="T57" s="297" t="s">
        <v>904</v>
      </c>
      <c r="U57" s="297" t="s">
        <v>643</v>
      </c>
      <c r="V57" s="297" t="s">
        <v>644</v>
      </c>
      <c r="W57" s="297" t="s">
        <v>645</v>
      </c>
      <c r="X57" s="297" t="str">
        <f>Balance!$G$16</f>
        <v>Heat pump</v>
      </c>
      <c r="Y57" s="297" t="str">
        <f>Data!$D$4</f>
        <v>Heat pump</v>
      </c>
      <c r="Z57" s="297" t="str">
        <f>Data!$D$5</f>
        <v>Direct electric</v>
      </c>
      <c r="AA57" s="297" t="str">
        <f>Data!$D$6</f>
        <v>Gas boiler</v>
      </c>
      <c r="AB57" s="297" t="str">
        <f>Data!$D$7</f>
        <v>Biomass</v>
      </c>
      <c r="AC57" s="297" t="str">
        <f>Balance!$G$16</f>
        <v>Heat pump</v>
      </c>
      <c r="AD57" s="297" t="str">
        <f>Data!$D$4</f>
        <v>Heat pump</v>
      </c>
      <c r="AE57" s="297" t="str">
        <f>Data!$D$5</f>
        <v>Direct electric</v>
      </c>
      <c r="AF57" s="297" t="str">
        <f>Data!$D$6</f>
        <v>Gas boiler</v>
      </c>
      <c r="AG57" s="297" t="str">
        <f>Data!$D$7</f>
        <v>Biomass</v>
      </c>
      <c r="AI57" s="217" t="str">
        <f>'Transparent components'!G5</f>
        <v>North</v>
      </c>
      <c r="AJ57" s="217">
        <f>'Transparent components'!G6</f>
        <v>143.99187199566063</v>
      </c>
    </row>
    <row r="58" spans="4:36" x14ac:dyDescent="0.25">
      <c r="D58" s="239" t="str">
        <f>TEXT(1,"00")</f>
        <v>01</v>
      </c>
      <c r="E58" s="408" t="s">
        <v>1111</v>
      </c>
      <c r="F58" s="409"/>
      <c r="G58" s="410"/>
      <c r="H58" s="79" t="s">
        <v>625</v>
      </c>
      <c r="I58" s="79">
        <v>3.22</v>
      </c>
      <c r="J58" s="283">
        <f>IF(ISTEXT(E58),VLOOKUP(LEFT(E58,2),'Transparent components'!$C$17:$F$26,'Transparent components'!$F$16,0),"")</f>
        <v>1.1200000000000001</v>
      </c>
      <c r="K58" s="284">
        <f>IF(ISTEXT(E58),VLOOKUP(LEFT(E58,2),'Transparent components'!$C$17:$G$26,'Transparent components'!$G$16,0),"")</f>
        <v>0.64</v>
      </c>
      <c r="L58" s="290">
        <f>IF(ISTEXT(E58),VLOOKUP(LEFT(E58,2),'Transparent components'!$C$17:$M$26,'Transparent components'!$M$16,0),"")</f>
        <v>406.72908778503734</v>
      </c>
      <c r="M58" s="290">
        <f>IF(ISNUMBER(X58),X58*$H$13,"")</f>
        <v>782.85333628076046</v>
      </c>
      <c r="N58" s="290">
        <f ca="1">IF(ISTEXT(E58),VLOOKUP(LEFT(E58,2),'Transparent components'!$C$17:$N$26,'Transparent components'!$N$16,0)+AC58*$H$13,"")</f>
        <v>260.2816417041426</v>
      </c>
      <c r="O58" s="285">
        <f>IF(ISNUMBER(I58),I58*L58,"")</f>
        <v>1309.6676626678202</v>
      </c>
      <c r="P58" s="285">
        <f>IF(ISNUMBER(I58),I58*M58,"")</f>
        <v>2520.787742824049</v>
      </c>
      <c r="Q58" s="285">
        <f ca="1">IF(ISNUMBER(I58),I58*N58,"")</f>
        <v>838.10688628733919</v>
      </c>
      <c r="R58" s="285">
        <f>IF(ISNUMBER(W58),W58*I58,"")</f>
        <v>189.05908071180366</v>
      </c>
      <c r="S58" s="19"/>
      <c r="T58" s="305">
        <f t="shared" ref="T58:T69" si="14">IF(ISNUMBER(J58),J58*$H$6,"")</f>
        <v>88.48</v>
      </c>
      <c r="U58" s="217">
        <f t="shared" ref="U58:U69" si="15">IF(ISTEXT(H58),VLOOKUP(H58,$AI$57:$AJ$61,$AJ$56,0),"")</f>
        <v>143.99187199566063</v>
      </c>
      <c r="V58" s="217">
        <f>U58*K58*'Transparent components'!$E$9</f>
        <v>29.765999778942966</v>
      </c>
      <c r="W58" s="294">
        <f>IF(ISNUMBER(V58),T58-V58,"")</f>
        <v>58.714000221057034</v>
      </c>
      <c r="X58" s="219">
        <f>IF(ISNUMBER(W58),IF($X$57=$Y$57,Y58,IF($X$57=$Z$57,Z58,IF($X$57=$AA$57,AA58,IF($X$57=$AB$57,AB58,"Error")))),"")</f>
        <v>39.142666814038023</v>
      </c>
      <c r="Y58" s="217">
        <f>W58/(Balance!$H$17*Balance!$H$18*Balance!$H$19)*Balance!$H$22</f>
        <v>39.142666814038023</v>
      </c>
      <c r="Z58" s="217">
        <f>W58/Balance!$H$18*Balance!$H$22</f>
        <v>105.68520039790266</v>
      </c>
      <c r="AA58" s="217">
        <f>W58/(Balance!$H$18*Balance!$H$19)*Balance!$H$23</f>
        <v>114.16611154094423</v>
      </c>
      <c r="AB58" s="218">
        <f>W58/(Balance!$H$18*Balance!$H$19)*Balance!$H$24</f>
        <v>71.76155582573638</v>
      </c>
      <c r="AC58" s="219">
        <f ca="1">IF(ISNUMBER(W58),IF($AC$57=$AD$57,AD58,IF($AC$57=$AE$57,AE58,IF($AC$57=$AF$57,AF58,IF($AC$57=$AG$57,AG58,"Error")))),"")</f>
        <v>7.3936148426516253</v>
      </c>
      <c r="AD58" s="217">
        <f ca="1">W58/(Balance!$H$17*Balance!$H$18*Balance!$H$19)*Balance!$G$22/1000</f>
        <v>7.3936148426516253</v>
      </c>
      <c r="AE58" s="217">
        <f ca="1">W58/Balance!$H$18*Balance!$G$22/1000</f>
        <v>19.962760075159391</v>
      </c>
      <c r="AF58" s="217">
        <f ca="1">W58/(Balance!$H$18*Balance!$H$19)*Balance!$G$23/1000</f>
        <v>16.270612495120957</v>
      </c>
      <c r="AG58" s="218">
        <f ca="1">W58/(Balance!$H$18*Balance!$H$19)*Balance!$G$24/1000</f>
        <v>1.3863027829971799</v>
      </c>
      <c r="AI58" s="217" t="str">
        <f>'Transparent components'!H5</f>
        <v>East</v>
      </c>
      <c r="AJ58" s="217">
        <f>'Transparent components'!H6</f>
        <v>228.20661606277508</v>
      </c>
    </row>
    <row r="59" spans="4:36" x14ac:dyDescent="0.25">
      <c r="D59" s="239" t="str">
        <f>TEXT(1+D58,"00")</f>
        <v>02</v>
      </c>
      <c r="E59" s="408" t="s">
        <v>943</v>
      </c>
      <c r="F59" s="409"/>
      <c r="G59" s="410"/>
      <c r="H59" s="79" t="s">
        <v>628</v>
      </c>
      <c r="I59" s="79">
        <v>12.54</v>
      </c>
      <c r="J59" s="283">
        <f>IF(ISTEXT(E59),VLOOKUP(LEFT(E59,2),'Transparent components'!$C$17:$F$26,'Transparent components'!$F$16,0),"")</f>
        <v>0.53</v>
      </c>
      <c r="K59" s="284">
        <f>IF(ISTEXT(E59),VLOOKUP(LEFT(E59,2),'Transparent components'!$C$17:$G$26,'Transparent components'!$G$16,0),"")</f>
        <v>0.54</v>
      </c>
      <c r="L59" s="290">
        <f>IF(ISTEXT(E59),VLOOKUP(LEFT(E59,2),'Transparent components'!$C$17:$M$26,'Transparent components'!$M$16,0),"")</f>
        <v>197.42970646159353</v>
      </c>
      <c r="M59" s="290">
        <f t="shared" ref="M59:M69" si="16">IF(ISNUMBER(X59),X59*$H$13,"")</f>
        <v>15.947975739813291</v>
      </c>
      <c r="N59" s="290">
        <f ca="1">IF(ISTEXT(E59),VLOOKUP(LEFT(E59,2),'Transparent components'!$C$17:$N$26,'Transparent components'!$N$16,0)+AC59*$H$13,"")</f>
        <v>56.578718618433065</v>
      </c>
      <c r="O59" s="285">
        <f t="shared" ref="O59:O69" si="17">IF(ISNUMBER(I59),I59*L59,"")</f>
        <v>2475.7685190283828</v>
      </c>
      <c r="P59" s="285">
        <f t="shared" ref="P59:P69" si="18">IF(ISNUMBER(I59),I59*M59,"")</f>
        <v>199.98761577725867</v>
      </c>
      <c r="Q59" s="285">
        <f t="shared" ref="Q59:Q69" ca="1" si="19">IF(ISNUMBER(I59),I59*N59,"")</f>
        <v>709.49713147515058</v>
      </c>
      <c r="R59" s="285">
        <f t="shared" ref="R59:R69" si="20">IF(ISNUMBER(W59),W59*I59,"")</f>
        <v>14.999071183294401</v>
      </c>
      <c r="S59" s="19"/>
      <c r="T59" s="305">
        <f t="shared" si="14"/>
        <v>41.870000000000005</v>
      </c>
      <c r="U59" s="217">
        <f t="shared" si="15"/>
        <v>233.19517153717464</v>
      </c>
      <c r="V59" s="217">
        <f>U59*K59*'Transparent components'!$E$9</f>
        <v>40.673901819514008</v>
      </c>
      <c r="W59" s="294">
        <f t="shared" ref="W59:W69" si="21">IF(ISNUMBER(V59),T59-V59,"")</f>
        <v>1.1960981804859969</v>
      </c>
      <c r="X59" s="219">
        <f t="shared" ref="X59:X69" si="22">IF(ISNUMBER(W59),IF($X$57=$Y$57,Y59,IF($X$57=$Z$57,Z59,IF($X$57=$AA$57,AA59,IF($X$57=$AB$57,AB59,"Error")))),"")</f>
        <v>0.79739878699066458</v>
      </c>
      <c r="Y59" s="217">
        <f>W59/(Balance!$H$17*Balance!$H$18*Balance!$H$19)*Balance!$H$22</f>
        <v>0.79739878699066458</v>
      </c>
      <c r="Z59" s="217">
        <f>W59/Balance!$H$18*Balance!$H$22</f>
        <v>2.1529767248747946</v>
      </c>
      <c r="AA59" s="217">
        <f>W59/(Balance!$H$18*Balance!$H$19)*Balance!$H$23</f>
        <v>2.325746462056105</v>
      </c>
      <c r="AB59" s="218">
        <f>W59/(Balance!$H$18*Balance!$H$19)*Balance!$H$24</f>
        <v>1.461897776149552</v>
      </c>
      <c r="AC59" s="219">
        <f t="shared" ref="AC59:AC69" ca="1" si="23">IF(ISNUMBER(W59),IF($AC$57=$AD$57,AD59,IF($AC$57=$AE$57,AE59,IF($AC$57=$AF$57,AF59,IF($AC$57=$AG$57,AG59,"Error")))),"")</f>
        <v>0.15061977087601439</v>
      </c>
      <c r="AD59" s="217">
        <f ca="1">W59/(Balance!$H$17*Balance!$H$18*Balance!$H$19)*Balance!$G$22/1000</f>
        <v>0.15061977087601439</v>
      </c>
      <c r="AE59" s="217">
        <f ca="1">W59/Balance!$H$18*Balance!$G$22/1000</f>
        <v>0.40667338136523895</v>
      </c>
      <c r="AF59" s="217">
        <f ca="1">W59/(Balance!$H$18*Balance!$H$19)*Balance!$G$23/1000</f>
        <v>0.33145842435425432</v>
      </c>
      <c r="AG59" s="218">
        <f ca="1">W59/(Balance!$H$18*Balance!$H$19)*Balance!$G$24/1000</f>
        <v>2.8241207039252703E-2</v>
      </c>
      <c r="AI59" s="217" t="str">
        <f>'Transparent components'!I5</f>
        <v>South</v>
      </c>
      <c r="AJ59" s="217">
        <f>'Transparent components'!I6</f>
        <v>372.22417211680505</v>
      </c>
    </row>
    <row r="60" spans="4:36" x14ac:dyDescent="0.25">
      <c r="D60" s="239" t="str">
        <f t="shared" ref="D60:D69" si="24">TEXT(1+D59,"00")</f>
        <v>03</v>
      </c>
      <c r="E60" s="408" t="s">
        <v>943</v>
      </c>
      <c r="F60" s="409"/>
      <c r="G60" s="410"/>
      <c r="H60" s="79" t="s">
        <v>626</v>
      </c>
      <c r="I60" s="79">
        <v>17.5</v>
      </c>
      <c r="J60" s="283">
        <f>IF(ISTEXT(E60),VLOOKUP(LEFT(E60,2),'Transparent components'!$C$17:$F$26,'Transparent components'!$F$16,0),"")</f>
        <v>0.53</v>
      </c>
      <c r="K60" s="284">
        <f>IF(ISTEXT(E60),VLOOKUP(LEFT(E60,2),'Transparent components'!$C$17:$G$26,'Transparent components'!$G$16,0),"")</f>
        <v>0.54</v>
      </c>
      <c r="L60" s="290">
        <f>IF(ISTEXT(E60),VLOOKUP(LEFT(E60,2),'Transparent components'!$C$17:$M$26,'Transparent components'!$M$16,0),"")</f>
        <v>197.42970646159353</v>
      </c>
      <c r="M60" s="290">
        <f t="shared" si="16"/>
        <v>-307.3778680081752</v>
      </c>
      <c r="N60" s="290">
        <f ca="1">IF(ISTEXT(E60),VLOOKUP(LEFT(E60,2),'Transparent components'!$C$17:$N$26,'Transparent components'!$N$16,0)+AC60*$H$13,"")</f>
        <v>-4.4939407561869871</v>
      </c>
      <c r="O60" s="285">
        <f t="shared" si="17"/>
        <v>3455.0198630778868</v>
      </c>
      <c r="P60" s="285">
        <f t="shared" si="18"/>
        <v>-5379.1126901430662</v>
      </c>
      <c r="Q60" s="285">
        <f t="shared" ca="1" si="19"/>
        <v>-78.643963233272274</v>
      </c>
      <c r="R60" s="285">
        <f t="shared" si="20"/>
        <v>-403.43345176072995</v>
      </c>
      <c r="S60" s="19"/>
      <c r="T60" s="305">
        <f t="shared" si="14"/>
        <v>41.870000000000005</v>
      </c>
      <c r="U60" s="217">
        <f t="shared" si="15"/>
        <v>372.22417211680505</v>
      </c>
      <c r="V60" s="217">
        <f>U60*K60*'Transparent components'!$E$9</f>
        <v>64.923340100613146</v>
      </c>
      <c r="W60" s="294">
        <f>IF(ISNUMBER(V60),T60-V60,"")</f>
        <v>-23.053340100613141</v>
      </c>
      <c r="X60" s="219">
        <f t="shared" si="22"/>
        <v>-15.36889340040876</v>
      </c>
      <c r="Y60" s="217">
        <f>W60/(Balance!$H$17*Balance!$H$18*Balance!$H$19)*Balance!$H$22</f>
        <v>-15.36889340040876</v>
      </c>
      <c r="Z60" s="217">
        <f>W60/Balance!$H$18*Balance!$H$22</f>
        <v>-41.496012181103659</v>
      </c>
      <c r="AA60" s="217">
        <f>W60/(Balance!$H$18*Balance!$H$19)*Balance!$H$23</f>
        <v>-44.825939084525551</v>
      </c>
      <c r="AB60" s="218">
        <f>W60/(Balance!$H$18*Balance!$H$19)*Balance!$H$24</f>
        <v>-28.176304567416064</v>
      </c>
      <c r="AC60" s="219">
        <f t="shared" ca="1" si="23"/>
        <v>-2.903013197854988</v>
      </c>
      <c r="AD60" s="217">
        <f ca="1">W60/(Balance!$H$17*Balance!$H$18*Balance!$H$19)*Balance!$G$22/1000</f>
        <v>-2.903013197854988</v>
      </c>
      <c r="AE60" s="217">
        <f ca="1">W60/Balance!$H$18*Balance!$G$22/1000</f>
        <v>-7.8381356342084683</v>
      </c>
      <c r="AF60" s="217">
        <f ca="1">W60/(Balance!$H$18*Balance!$H$19)*Balance!$G$23/1000</f>
        <v>-6.3884586654476871</v>
      </c>
      <c r="AG60" s="218">
        <f ca="1">W60/(Balance!$H$18*Balance!$H$19)*Balance!$G$24/1000</f>
        <v>-0.54431497459781031</v>
      </c>
      <c r="AI60" s="217" t="str">
        <f>'Transparent components'!J5</f>
        <v>West</v>
      </c>
      <c r="AJ60" s="217">
        <f>'Transparent components'!J6</f>
        <v>233.19517153717464</v>
      </c>
    </row>
    <row r="61" spans="4:36" collapsed="1" x14ac:dyDescent="0.25">
      <c r="D61" s="239" t="str">
        <f t="shared" si="24"/>
        <v>04</v>
      </c>
      <c r="E61" s="408" t="s">
        <v>943</v>
      </c>
      <c r="F61" s="409"/>
      <c r="G61" s="410"/>
      <c r="H61" s="79" t="s">
        <v>627</v>
      </c>
      <c r="I61" s="79">
        <v>5.53</v>
      </c>
      <c r="J61" s="283">
        <f>IF(ISTEXT(E61),VLOOKUP(LEFT(E61,2),'Transparent components'!$C$17:$F$26,'Transparent components'!$F$16,0),"")</f>
        <v>0.53</v>
      </c>
      <c r="K61" s="284">
        <f>IF(ISTEXT(E61),VLOOKUP(LEFT(E61,2),'Transparent components'!$C$17:$G$26,'Transparent components'!$G$16,0),"")</f>
        <v>0.54</v>
      </c>
      <c r="L61" s="290">
        <f>IF(ISTEXT(E61),VLOOKUP(LEFT(E61,2),'Transparent components'!$C$17:$M$26,'Transparent components'!$M$16,0),"")</f>
        <v>197.42970646159353</v>
      </c>
      <c r="M61" s="290">
        <f t="shared" si="16"/>
        <v>27.549360351076949</v>
      </c>
      <c r="N61" s="290">
        <f ca="1">IF(ISTEXT(E61),VLOOKUP(LEFT(E61,2),'Transparent components'!$C$17:$N$26,'Transparent components'!$N$16,0)+AC61*$H$13,"")</f>
        <v>58.770091267227308</v>
      </c>
      <c r="O61" s="285">
        <f t="shared" si="17"/>
        <v>1091.7862767326124</v>
      </c>
      <c r="P61" s="285">
        <f t="shared" si="18"/>
        <v>152.34796274145555</v>
      </c>
      <c r="Q61" s="285">
        <f t="shared" ca="1" si="19"/>
        <v>324.99860470776702</v>
      </c>
      <c r="R61" s="285">
        <f t="shared" si="20"/>
        <v>11.426097205609164</v>
      </c>
      <c r="S61" s="19"/>
      <c r="T61" s="305">
        <f t="shared" si="14"/>
        <v>41.870000000000005</v>
      </c>
      <c r="U61" s="217">
        <f t="shared" si="15"/>
        <v>228.20661606277508</v>
      </c>
      <c r="V61" s="217">
        <f>U61*K61*'Transparent components'!$E$9</f>
        <v>39.803797973669234</v>
      </c>
      <c r="W61" s="294">
        <f t="shared" si="21"/>
        <v>2.066202026330771</v>
      </c>
      <c r="X61" s="219">
        <f t="shared" si="22"/>
        <v>1.3774680175538474</v>
      </c>
      <c r="Y61" s="217">
        <f>W61/(Balance!$H$17*Balance!$H$18*Balance!$H$19)*Balance!$H$22</f>
        <v>1.3774680175538474</v>
      </c>
      <c r="Z61" s="217">
        <f>W61/Balance!$H$18*Balance!$H$22</f>
        <v>3.719163647395388</v>
      </c>
      <c r="AA61" s="217">
        <f>W61/(Balance!$H$18*Balance!$H$19)*Balance!$H$23</f>
        <v>4.017615051198721</v>
      </c>
      <c r="AB61" s="218">
        <f>W61/(Balance!$H$18*Balance!$H$19)*Balance!$H$24</f>
        <v>2.5253580321820537</v>
      </c>
      <c r="AC61" s="219">
        <f t="shared" ca="1" si="23"/>
        <v>0.26018840331572668</v>
      </c>
      <c r="AD61" s="217">
        <f ca="1">W61/(Balance!$H$17*Balance!$H$18*Balance!$H$19)*Balance!$G$22/1000</f>
        <v>0.26018840331572668</v>
      </c>
      <c r="AE61" s="217">
        <f ca="1">W61/Balance!$H$18*Balance!$G$22/1000</f>
        <v>0.7025086889524621</v>
      </c>
      <c r="AF61" s="217">
        <f ca="1">W61/(Balance!$H$18*Balance!$H$19)*Balance!$G$23/1000</f>
        <v>0.5725784715824026</v>
      </c>
      <c r="AG61" s="218">
        <f ca="1">W61/(Balance!$H$18*Balance!$H$19)*Balance!$G$24/1000</f>
        <v>4.8785325621698759E-2</v>
      </c>
      <c r="AI61" s="217" t="str">
        <f>'Transparent components'!K5</f>
        <v>Horizontal</v>
      </c>
      <c r="AJ61" s="217">
        <f>'Transparent components'!K6</f>
        <v>352.16763263942335</v>
      </c>
    </row>
    <row r="62" spans="4:36" hidden="1" outlineLevel="1" x14ac:dyDescent="0.25">
      <c r="D62" s="239" t="str">
        <f t="shared" si="24"/>
        <v>05</v>
      </c>
      <c r="E62" s="408"/>
      <c r="F62" s="409"/>
      <c r="G62" s="410"/>
      <c r="H62" s="79"/>
      <c r="I62" s="79"/>
      <c r="J62" s="283" t="str">
        <f>IF(ISTEXT(E62),VLOOKUP(LEFT(E62,2),'Transparent components'!$C$17:$F$26,'Transparent components'!$F$16,0),"")</f>
        <v/>
      </c>
      <c r="K62" s="284" t="str">
        <f>IF(ISTEXT(E62),VLOOKUP(LEFT(E62,2),'Transparent components'!$C$17:$G$26,'Transparent components'!$G$16,0),"")</f>
        <v/>
      </c>
      <c r="L62" s="290" t="str">
        <f>IF(ISTEXT(E62),VLOOKUP(LEFT(E62,2),'Transparent components'!$C$17:$M$26,'Transparent components'!$M$16,0),"")</f>
        <v/>
      </c>
      <c r="M62" s="290" t="str">
        <f t="shared" si="16"/>
        <v/>
      </c>
      <c r="N62" s="290" t="str">
        <f>IF(ISTEXT(E62),VLOOKUP(LEFT(E62,2),'Transparent components'!$C$17:$N$26,'Transparent components'!$N$16,0)+AC62*$H$13,"")</f>
        <v/>
      </c>
      <c r="O62" s="285" t="str">
        <f t="shared" si="17"/>
        <v/>
      </c>
      <c r="P62" s="285" t="str">
        <f t="shared" si="18"/>
        <v/>
      </c>
      <c r="Q62" s="285" t="str">
        <f t="shared" si="19"/>
        <v/>
      </c>
      <c r="R62" s="285" t="str">
        <f t="shared" si="20"/>
        <v/>
      </c>
      <c r="S62" s="19"/>
      <c r="T62" s="305" t="str">
        <f t="shared" si="14"/>
        <v/>
      </c>
      <c r="U62" s="217" t="str">
        <f t="shared" si="15"/>
        <v/>
      </c>
      <c r="V62" s="217" t="e">
        <f>U62*K62*'Transparent components'!$E$9</f>
        <v>#VALUE!</v>
      </c>
      <c r="W62" s="294" t="str">
        <f t="shared" si="21"/>
        <v/>
      </c>
      <c r="X62" s="219" t="str">
        <f t="shared" si="22"/>
        <v/>
      </c>
      <c r="Y62" s="217" t="e">
        <f>W62/(Balance!$H$17*Balance!$H$18*Balance!$H$19)*Balance!$H$22</f>
        <v>#VALUE!</v>
      </c>
      <c r="Z62" s="217" t="e">
        <f>W62/Balance!$H$18*Balance!$H$22</f>
        <v>#VALUE!</v>
      </c>
      <c r="AA62" s="217" t="e">
        <f>W62/(Balance!$H$18*Balance!$H$19)*Balance!$H$23</f>
        <v>#VALUE!</v>
      </c>
      <c r="AB62" s="218" t="e">
        <f>W62/(Balance!$H$18*Balance!$H$19)*Balance!$H$24</f>
        <v>#VALUE!</v>
      </c>
      <c r="AC62" s="219" t="str">
        <f t="shared" si="23"/>
        <v/>
      </c>
      <c r="AD62" s="217" t="e">
        <f ca="1">W62/(Balance!$H$17*Balance!$H$18*Balance!$H$19)*Balance!$G$22/1000</f>
        <v>#VALUE!</v>
      </c>
      <c r="AE62" s="217" t="e">
        <f ca="1">W62/Balance!$H$18*Balance!$G$22/1000</f>
        <v>#VALUE!</v>
      </c>
      <c r="AF62" s="217" t="e">
        <f ca="1">W62/(Balance!$H$18*Balance!$H$19)*Balance!$G$23/1000</f>
        <v>#VALUE!</v>
      </c>
      <c r="AG62" s="218" t="e">
        <f ca="1">W62/(Balance!$H$18*Balance!$H$19)*Balance!$G$24/1000</f>
        <v>#VALUE!</v>
      </c>
    </row>
    <row r="63" spans="4:36" hidden="1" outlineLevel="1" x14ac:dyDescent="0.25">
      <c r="D63" s="239" t="str">
        <f t="shared" si="24"/>
        <v>06</v>
      </c>
      <c r="E63" s="408"/>
      <c r="F63" s="409"/>
      <c r="G63" s="410"/>
      <c r="H63" s="79"/>
      <c r="I63" s="79"/>
      <c r="J63" s="283" t="str">
        <f>IF(ISTEXT(E63),VLOOKUP(LEFT(E63,2),'Transparent components'!$C$17:$F$26,'Transparent components'!$F$16,0),"")</f>
        <v/>
      </c>
      <c r="K63" s="284" t="str">
        <f>IF(ISTEXT(E63),VLOOKUP(LEFT(E63,2),'Transparent components'!$C$17:$G$26,'Transparent components'!$G$16,0),"")</f>
        <v/>
      </c>
      <c r="L63" s="290" t="str">
        <f>IF(ISTEXT(E63),VLOOKUP(LEFT(E63,2),'Transparent components'!$C$17:$M$26,'Transparent components'!$M$16,0),"")</f>
        <v/>
      </c>
      <c r="M63" s="290" t="str">
        <f t="shared" si="16"/>
        <v/>
      </c>
      <c r="N63" s="290" t="str">
        <f>IF(ISTEXT(E63),VLOOKUP(LEFT(E63,2),'Transparent components'!$C$17:$N$26,'Transparent components'!$N$16,0)+AC63*$H$13,"")</f>
        <v/>
      </c>
      <c r="O63" s="285" t="str">
        <f t="shared" si="17"/>
        <v/>
      </c>
      <c r="P63" s="285" t="str">
        <f t="shared" si="18"/>
        <v/>
      </c>
      <c r="Q63" s="285" t="str">
        <f t="shared" si="19"/>
        <v/>
      </c>
      <c r="R63" s="285" t="str">
        <f t="shared" si="20"/>
        <v/>
      </c>
      <c r="S63" s="19"/>
      <c r="T63" s="305" t="str">
        <f t="shared" si="14"/>
        <v/>
      </c>
      <c r="U63" s="217" t="str">
        <f t="shared" si="15"/>
        <v/>
      </c>
      <c r="V63" s="217" t="e">
        <f>U63*K63*'Transparent components'!$E$9</f>
        <v>#VALUE!</v>
      </c>
      <c r="W63" s="294" t="str">
        <f t="shared" si="21"/>
        <v/>
      </c>
      <c r="X63" s="219" t="str">
        <f t="shared" si="22"/>
        <v/>
      </c>
      <c r="Y63" s="217" t="e">
        <f>W63/(Balance!$H$17*Balance!$H$18*Balance!$H$19)*Balance!$H$22</f>
        <v>#VALUE!</v>
      </c>
      <c r="Z63" s="217" t="e">
        <f>W63/Balance!$H$18*Balance!$H$22</f>
        <v>#VALUE!</v>
      </c>
      <c r="AA63" s="217" t="e">
        <f>W63/(Balance!$H$18*Balance!$H$19)*Balance!$H$23</f>
        <v>#VALUE!</v>
      </c>
      <c r="AB63" s="218" t="e">
        <f>W63/(Balance!$H$18*Balance!$H$19)*Balance!$H$24</f>
        <v>#VALUE!</v>
      </c>
      <c r="AC63" s="219" t="str">
        <f t="shared" si="23"/>
        <v/>
      </c>
      <c r="AD63" s="217" t="e">
        <f ca="1">W63/(Balance!$H$17*Balance!$H$18*Balance!$H$19)*Balance!$G$22/1000</f>
        <v>#VALUE!</v>
      </c>
      <c r="AE63" s="217" t="e">
        <f ca="1">W63/Balance!$H$18*Balance!$G$22/1000</f>
        <v>#VALUE!</v>
      </c>
      <c r="AF63" s="217" t="e">
        <f ca="1">W63/(Balance!$H$18*Balance!$H$19)*Balance!$G$23/1000</f>
        <v>#VALUE!</v>
      </c>
      <c r="AG63" s="218" t="e">
        <f ca="1">W63/(Balance!$H$18*Balance!$H$19)*Balance!$G$24/1000</f>
        <v>#VALUE!</v>
      </c>
    </row>
    <row r="64" spans="4:36" hidden="1" outlineLevel="1" x14ac:dyDescent="0.25">
      <c r="D64" s="239" t="str">
        <f t="shared" si="24"/>
        <v>07</v>
      </c>
      <c r="E64" s="408"/>
      <c r="F64" s="409"/>
      <c r="G64" s="410"/>
      <c r="H64" s="79"/>
      <c r="I64" s="79"/>
      <c r="J64" s="283" t="str">
        <f>IF(ISTEXT(E64),VLOOKUP(LEFT(E64,2),'Transparent components'!$C$17:$F$26,'Transparent components'!$F$16,0),"")</f>
        <v/>
      </c>
      <c r="K64" s="284" t="str">
        <f>IF(ISTEXT(E64),VLOOKUP(LEFT(E64,2),'Transparent components'!$C$17:$G$26,'Transparent components'!$G$16,0),"")</f>
        <v/>
      </c>
      <c r="L64" s="290" t="str">
        <f>IF(ISTEXT(E64),VLOOKUP(LEFT(E64,2),'Transparent components'!$C$17:$M$26,'Transparent components'!$M$16,0),"")</f>
        <v/>
      </c>
      <c r="M64" s="290" t="str">
        <f t="shared" si="16"/>
        <v/>
      </c>
      <c r="N64" s="290" t="str">
        <f>IF(ISTEXT(E64),VLOOKUP(LEFT(E64,2),'Transparent components'!$C$17:$N$26,'Transparent components'!$N$16,0)+AC64*$H$13,"")</f>
        <v/>
      </c>
      <c r="O64" s="285" t="str">
        <f t="shared" si="17"/>
        <v/>
      </c>
      <c r="P64" s="285" t="str">
        <f t="shared" si="18"/>
        <v/>
      </c>
      <c r="Q64" s="285" t="str">
        <f t="shared" si="19"/>
        <v/>
      </c>
      <c r="R64" s="285" t="str">
        <f t="shared" si="20"/>
        <v/>
      </c>
      <c r="S64" s="19"/>
      <c r="T64" s="305" t="str">
        <f t="shared" si="14"/>
        <v/>
      </c>
      <c r="U64" s="217" t="str">
        <f t="shared" si="15"/>
        <v/>
      </c>
      <c r="V64" s="217" t="e">
        <f>U64*K64*'Transparent components'!$E$9</f>
        <v>#VALUE!</v>
      </c>
      <c r="W64" s="294" t="str">
        <f t="shared" si="21"/>
        <v/>
      </c>
      <c r="X64" s="219" t="str">
        <f t="shared" si="22"/>
        <v/>
      </c>
      <c r="Y64" s="217" t="e">
        <f>W64/(Balance!$H$17*Balance!$H$18*Balance!$H$19)*Balance!$H$22</f>
        <v>#VALUE!</v>
      </c>
      <c r="Z64" s="217" t="e">
        <f>W64/Balance!$H$18*Balance!$H$22</f>
        <v>#VALUE!</v>
      </c>
      <c r="AA64" s="217" t="e">
        <f>W64/(Balance!$H$18*Balance!$H$19)*Balance!$H$23</f>
        <v>#VALUE!</v>
      </c>
      <c r="AB64" s="218" t="e">
        <f>W64/(Balance!$H$18*Balance!$H$19)*Balance!$H$24</f>
        <v>#VALUE!</v>
      </c>
      <c r="AC64" s="219" t="str">
        <f t="shared" si="23"/>
        <v/>
      </c>
      <c r="AD64" s="217" t="e">
        <f ca="1">W64/(Balance!$H$17*Balance!$H$18*Balance!$H$19)*Balance!$G$22/1000</f>
        <v>#VALUE!</v>
      </c>
      <c r="AE64" s="217" t="e">
        <f ca="1">W64/Balance!$H$18*Balance!$G$22/1000</f>
        <v>#VALUE!</v>
      </c>
      <c r="AF64" s="217" t="e">
        <f ca="1">W64/(Balance!$H$18*Balance!$H$19)*Balance!$G$23/1000</f>
        <v>#VALUE!</v>
      </c>
      <c r="AG64" s="218" t="e">
        <f ca="1">W64/(Balance!$H$18*Balance!$H$19)*Balance!$G$24/1000</f>
        <v>#VALUE!</v>
      </c>
    </row>
    <row r="65" spans="4:33" hidden="1" outlineLevel="1" x14ac:dyDescent="0.25">
      <c r="D65" s="239" t="str">
        <f t="shared" si="24"/>
        <v>08</v>
      </c>
      <c r="E65" s="408"/>
      <c r="F65" s="409"/>
      <c r="G65" s="410"/>
      <c r="H65" s="79"/>
      <c r="I65" s="79"/>
      <c r="J65" s="283" t="str">
        <f>IF(ISTEXT(E65),VLOOKUP(LEFT(E65,2),'Transparent components'!$C$17:$F$26,'Transparent components'!$F$16,0),"")</f>
        <v/>
      </c>
      <c r="K65" s="284" t="str">
        <f>IF(ISTEXT(E65),VLOOKUP(LEFT(E65,2),'Transparent components'!$C$17:$G$26,'Transparent components'!$G$16,0),"")</f>
        <v/>
      </c>
      <c r="L65" s="290" t="str">
        <f>IF(ISTEXT(E65),VLOOKUP(LEFT(E65,2),'Transparent components'!$C$17:$M$26,'Transparent components'!$M$16,0),"")</f>
        <v/>
      </c>
      <c r="M65" s="290" t="str">
        <f t="shared" si="16"/>
        <v/>
      </c>
      <c r="N65" s="290" t="str">
        <f>IF(ISTEXT(E65),VLOOKUP(LEFT(E65,2),'Transparent components'!$C$17:$N$26,'Transparent components'!$N$16,0)+AC65*$H$13,"")</f>
        <v/>
      </c>
      <c r="O65" s="285" t="str">
        <f t="shared" si="17"/>
        <v/>
      </c>
      <c r="P65" s="285" t="str">
        <f t="shared" si="18"/>
        <v/>
      </c>
      <c r="Q65" s="285" t="str">
        <f t="shared" si="19"/>
        <v/>
      </c>
      <c r="R65" s="285" t="str">
        <f t="shared" si="20"/>
        <v/>
      </c>
      <c r="S65" s="19"/>
      <c r="T65" s="305" t="str">
        <f t="shared" si="14"/>
        <v/>
      </c>
      <c r="U65" s="217" t="str">
        <f t="shared" si="15"/>
        <v/>
      </c>
      <c r="V65" s="217" t="e">
        <f>U65*K65*'Transparent components'!$E$9</f>
        <v>#VALUE!</v>
      </c>
      <c r="W65" s="294" t="str">
        <f t="shared" si="21"/>
        <v/>
      </c>
      <c r="X65" s="219" t="str">
        <f t="shared" si="22"/>
        <v/>
      </c>
      <c r="Y65" s="217" t="e">
        <f>W65/(Balance!$H$17*Balance!$H$18*Balance!$H$19)*Balance!$H$22</f>
        <v>#VALUE!</v>
      </c>
      <c r="Z65" s="217" t="e">
        <f>W65/Balance!$H$18*Balance!$H$22</f>
        <v>#VALUE!</v>
      </c>
      <c r="AA65" s="217" t="e">
        <f>W65/(Balance!$H$18*Balance!$H$19)*Balance!$H$23</f>
        <v>#VALUE!</v>
      </c>
      <c r="AB65" s="218" t="e">
        <f>W65/(Balance!$H$18*Balance!$H$19)*Balance!$H$24</f>
        <v>#VALUE!</v>
      </c>
      <c r="AC65" s="219" t="str">
        <f t="shared" si="23"/>
        <v/>
      </c>
      <c r="AD65" s="217" t="e">
        <f ca="1">W65/(Balance!$H$17*Balance!$H$18*Balance!$H$19)*Balance!$G$22/1000</f>
        <v>#VALUE!</v>
      </c>
      <c r="AE65" s="217" t="e">
        <f ca="1">W65/Balance!$H$18*Balance!$G$22/1000</f>
        <v>#VALUE!</v>
      </c>
      <c r="AF65" s="217" t="e">
        <f ca="1">W65/(Balance!$H$18*Balance!$H$19)*Balance!$G$23/1000</f>
        <v>#VALUE!</v>
      </c>
      <c r="AG65" s="218" t="e">
        <f ca="1">W65/(Balance!$H$18*Balance!$H$19)*Balance!$G$24/1000</f>
        <v>#VALUE!</v>
      </c>
    </row>
    <row r="66" spans="4:33" hidden="1" outlineLevel="1" x14ac:dyDescent="0.25">
      <c r="D66" s="239" t="str">
        <f t="shared" si="24"/>
        <v>09</v>
      </c>
      <c r="E66" s="408"/>
      <c r="F66" s="409"/>
      <c r="G66" s="410"/>
      <c r="H66" s="79"/>
      <c r="I66" s="79"/>
      <c r="J66" s="283" t="str">
        <f>IF(ISTEXT(E66),VLOOKUP(LEFT(E66,2),'Transparent components'!$C$17:$F$26,'Transparent components'!$F$16,0),"")</f>
        <v/>
      </c>
      <c r="K66" s="284" t="str">
        <f>IF(ISTEXT(E66),VLOOKUP(LEFT(E66,2),'Transparent components'!$C$17:$G$26,'Transparent components'!$G$16,0),"")</f>
        <v/>
      </c>
      <c r="L66" s="290" t="str">
        <f>IF(ISTEXT(E66),VLOOKUP(LEFT(E66,2),'Transparent components'!$C$17:$M$26,'Transparent components'!$M$16,0),"")</f>
        <v/>
      </c>
      <c r="M66" s="290" t="str">
        <f t="shared" si="16"/>
        <v/>
      </c>
      <c r="N66" s="290" t="str">
        <f>IF(ISTEXT(E66),VLOOKUP(LEFT(E66,2),'Transparent components'!$C$17:$N$26,'Transparent components'!$N$16,0)+AC66*$H$13,"")</f>
        <v/>
      </c>
      <c r="O66" s="285" t="str">
        <f t="shared" si="17"/>
        <v/>
      </c>
      <c r="P66" s="285" t="str">
        <f t="shared" si="18"/>
        <v/>
      </c>
      <c r="Q66" s="285" t="str">
        <f t="shared" si="19"/>
        <v/>
      </c>
      <c r="R66" s="285" t="str">
        <f t="shared" si="20"/>
        <v/>
      </c>
      <c r="S66" s="19"/>
      <c r="T66" s="305" t="str">
        <f t="shared" si="14"/>
        <v/>
      </c>
      <c r="U66" s="217" t="str">
        <f t="shared" si="15"/>
        <v/>
      </c>
      <c r="V66" s="217" t="e">
        <f>U66*K66*'Transparent components'!$E$9</f>
        <v>#VALUE!</v>
      </c>
      <c r="W66" s="294" t="str">
        <f t="shared" si="21"/>
        <v/>
      </c>
      <c r="X66" s="219" t="str">
        <f t="shared" si="22"/>
        <v/>
      </c>
      <c r="Y66" s="217" t="e">
        <f>W66/(Balance!$H$17*Balance!$H$18*Balance!$H$19)*Balance!$H$22</f>
        <v>#VALUE!</v>
      </c>
      <c r="Z66" s="217" t="e">
        <f>W66/Balance!$H$18*Balance!$H$22</f>
        <v>#VALUE!</v>
      </c>
      <c r="AA66" s="217" t="e">
        <f>W66/(Balance!$H$18*Balance!$H$19)*Balance!$H$23</f>
        <v>#VALUE!</v>
      </c>
      <c r="AB66" s="218" t="e">
        <f>W66/(Balance!$H$18*Balance!$H$19)*Balance!$H$24</f>
        <v>#VALUE!</v>
      </c>
      <c r="AC66" s="219" t="str">
        <f t="shared" si="23"/>
        <v/>
      </c>
      <c r="AD66" s="217" t="e">
        <f ca="1">W66/(Balance!$H$17*Balance!$H$18*Balance!$H$19)*Balance!$G$22/1000</f>
        <v>#VALUE!</v>
      </c>
      <c r="AE66" s="217" t="e">
        <f ca="1">W66/Balance!$H$18*Balance!$G$22/1000</f>
        <v>#VALUE!</v>
      </c>
      <c r="AF66" s="217" t="e">
        <f ca="1">W66/(Balance!$H$18*Balance!$H$19)*Balance!$G$23/1000</f>
        <v>#VALUE!</v>
      </c>
      <c r="AG66" s="218" t="e">
        <f ca="1">W66/(Balance!$H$18*Balance!$H$19)*Balance!$G$24/1000</f>
        <v>#VALUE!</v>
      </c>
    </row>
    <row r="67" spans="4:33" hidden="1" outlineLevel="1" x14ac:dyDescent="0.25">
      <c r="D67" s="239" t="str">
        <f t="shared" si="24"/>
        <v>10</v>
      </c>
      <c r="E67" s="408"/>
      <c r="F67" s="409"/>
      <c r="G67" s="410"/>
      <c r="H67" s="79"/>
      <c r="I67" s="79"/>
      <c r="J67" s="283" t="str">
        <f>IF(ISTEXT(E67),VLOOKUP(LEFT(E67,2),'Transparent components'!$C$17:$F$26,'Transparent components'!$F$16,0),"")</f>
        <v/>
      </c>
      <c r="K67" s="284" t="str">
        <f>IF(ISTEXT(E67),VLOOKUP(LEFT(E67,2),'Transparent components'!$C$17:$G$26,'Transparent components'!$G$16,0),"")</f>
        <v/>
      </c>
      <c r="L67" s="290" t="str">
        <f>IF(ISTEXT(E67),VLOOKUP(LEFT(E67,2),'Transparent components'!$C$17:$M$26,'Transparent components'!$M$16,0),"")</f>
        <v/>
      </c>
      <c r="M67" s="290" t="str">
        <f t="shared" si="16"/>
        <v/>
      </c>
      <c r="N67" s="290" t="str">
        <f>IF(ISTEXT(E67),VLOOKUP(LEFT(E67,2),'Transparent components'!$C$17:$N$26,'Transparent components'!$N$16,0)+AC67*$H$13,"")</f>
        <v/>
      </c>
      <c r="O67" s="285" t="str">
        <f t="shared" si="17"/>
        <v/>
      </c>
      <c r="P67" s="285" t="str">
        <f t="shared" si="18"/>
        <v/>
      </c>
      <c r="Q67" s="285" t="str">
        <f t="shared" si="19"/>
        <v/>
      </c>
      <c r="R67" s="285" t="str">
        <f t="shared" si="20"/>
        <v/>
      </c>
      <c r="S67" s="19"/>
      <c r="T67" s="305" t="str">
        <f t="shared" si="14"/>
        <v/>
      </c>
      <c r="U67" s="217" t="str">
        <f t="shared" si="15"/>
        <v/>
      </c>
      <c r="V67" s="217" t="e">
        <f>U67*K67*'Transparent components'!$E$9</f>
        <v>#VALUE!</v>
      </c>
      <c r="W67" s="294" t="str">
        <f t="shared" si="21"/>
        <v/>
      </c>
      <c r="X67" s="219" t="str">
        <f t="shared" si="22"/>
        <v/>
      </c>
      <c r="Y67" s="217" t="e">
        <f>W67/(Balance!$H$17*Balance!$H$18*Balance!$H$19)*Balance!$H$22</f>
        <v>#VALUE!</v>
      </c>
      <c r="Z67" s="217" t="e">
        <f>W67/Balance!$H$18*Balance!$H$22</f>
        <v>#VALUE!</v>
      </c>
      <c r="AA67" s="217" t="e">
        <f>W67/(Balance!$H$18*Balance!$H$19)*Balance!$H$23</f>
        <v>#VALUE!</v>
      </c>
      <c r="AB67" s="218" t="e">
        <f>W67/(Balance!$H$18*Balance!$H$19)*Balance!$H$24</f>
        <v>#VALUE!</v>
      </c>
      <c r="AC67" s="219" t="str">
        <f t="shared" si="23"/>
        <v/>
      </c>
      <c r="AD67" s="217" t="e">
        <f ca="1">W67/(Balance!$H$17*Balance!$H$18*Balance!$H$19)*Balance!$G$22/1000</f>
        <v>#VALUE!</v>
      </c>
      <c r="AE67" s="217" t="e">
        <f ca="1">W67/Balance!$H$18*Balance!$G$22/1000</f>
        <v>#VALUE!</v>
      </c>
      <c r="AF67" s="217" t="e">
        <f ca="1">W67/(Balance!$H$18*Balance!$H$19)*Balance!$G$23/1000</f>
        <v>#VALUE!</v>
      </c>
      <c r="AG67" s="218" t="e">
        <f ca="1">W67/(Balance!$H$18*Balance!$H$19)*Balance!$G$24/1000</f>
        <v>#VALUE!</v>
      </c>
    </row>
    <row r="68" spans="4:33" hidden="1" outlineLevel="1" x14ac:dyDescent="0.25">
      <c r="D68" s="239" t="str">
        <f t="shared" si="24"/>
        <v>11</v>
      </c>
      <c r="E68" s="408"/>
      <c r="F68" s="409"/>
      <c r="G68" s="410"/>
      <c r="H68" s="79"/>
      <c r="I68" s="79"/>
      <c r="J68" s="283" t="str">
        <f>IF(ISTEXT(E68),VLOOKUP(LEFT(E68,2),'Transparent components'!$C$17:$F$26,'Transparent components'!$F$16,0),"")</f>
        <v/>
      </c>
      <c r="K68" s="284" t="str">
        <f>IF(ISTEXT(E68),VLOOKUP(LEFT(E68,2),'Transparent components'!$C$17:$G$26,'Transparent components'!$G$16,0),"")</f>
        <v/>
      </c>
      <c r="L68" s="290" t="str">
        <f>IF(ISTEXT(E68),VLOOKUP(LEFT(E68,2),'Transparent components'!$C$17:$M$26,'Transparent components'!$M$16,0),"")</f>
        <v/>
      </c>
      <c r="M68" s="290" t="str">
        <f t="shared" si="16"/>
        <v/>
      </c>
      <c r="N68" s="290" t="str">
        <f>IF(ISTEXT(E68),VLOOKUP(LEFT(E68,2),'Transparent components'!$C$17:$N$26,'Transparent components'!$N$16,0)+AC68*$H$13,"")</f>
        <v/>
      </c>
      <c r="O68" s="285" t="str">
        <f t="shared" si="17"/>
        <v/>
      </c>
      <c r="P68" s="285" t="str">
        <f t="shared" si="18"/>
        <v/>
      </c>
      <c r="Q68" s="285" t="str">
        <f t="shared" si="19"/>
        <v/>
      </c>
      <c r="R68" s="285" t="str">
        <f t="shared" si="20"/>
        <v/>
      </c>
      <c r="S68" s="19"/>
      <c r="T68" s="305" t="str">
        <f t="shared" si="14"/>
        <v/>
      </c>
      <c r="U68" s="217" t="str">
        <f t="shared" si="15"/>
        <v/>
      </c>
      <c r="V68" s="217" t="e">
        <f>U68*K68*'Transparent components'!$E$9</f>
        <v>#VALUE!</v>
      </c>
      <c r="W68" s="294" t="str">
        <f t="shared" si="21"/>
        <v/>
      </c>
      <c r="X68" s="219" t="str">
        <f t="shared" si="22"/>
        <v/>
      </c>
      <c r="Y68" s="217" t="e">
        <f>W68/(Balance!$H$17*Balance!$H$18*Balance!$H$19)*Balance!$H$22</f>
        <v>#VALUE!</v>
      </c>
      <c r="Z68" s="217" t="e">
        <f>W68/Balance!$H$18*Balance!$H$22</f>
        <v>#VALUE!</v>
      </c>
      <c r="AA68" s="217" t="e">
        <f>W68/(Balance!$H$18*Balance!$H$19)*Balance!$H$23</f>
        <v>#VALUE!</v>
      </c>
      <c r="AB68" s="218" t="e">
        <f>W68/(Balance!$H$18*Balance!$H$19)*Balance!$H$24</f>
        <v>#VALUE!</v>
      </c>
      <c r="AC68" s="219" t="str">
        <f t="shared" si="23"/>
        <v/>
      </c>
      <c r="AD68" s="217" t="e">
        <f ca="1">W68/(Balance!$H$17*Balance!$H$18*Balance!$H$19)*Balance!$G$22/1000</f>
        <v>#VALUE!</v>
      </c>
      <c r="AE68" s="217" t="e">
        <f ca="1">W68/Balance!$H$18*Balance!$G$22/1000</f>
        <v>#VALUE!</v>
      </c>
      <c r="AF68" s="217" t="e">
        <f ca="1">W68/(Balance!$H$18*Balance!$H$19)*Balance!$G$23/1000</f>
        <v>#VALUE!</v>
      </c>
      <c r="AG68" s="218" t="e">
        <f ca="1">W68/(Balance!$H$18*Balance!$H$19)*Balance!$G$24/1000</f>
        <v>#VALUE!</v>
      </c>
    </row>
    <row r="69" spans="4:33" x14ac:dyDescent="0.25">
      <c r="D69" s="239" t="str">
        <f t="shared" si="24"/>
        <v>12</v>
      </c>
      <c r="E69" s="408"/>
      <c r="F69" s="409"/>
      <c r="G69" s="410"/>
      <c r="H69" s="79"/>
      <c r="I69" s="79"/>
      <c r="J69" s="283" t="str">
        <f>IF(ISTEXT(E69),VLOOKUP(LEFT(E69,2),'Transparent components'!$C$17:$F$26,'Transparent components'!$F$16,0),"")</f>
        <v/>
      </c>
      <c r="K69" s="284" t="str">
        <f>IF(ISTEXT(E69),VLOOKUP(LEFT(E69,2),'Transparent components'!$C$17:$G$26,'Transparent components'!$G$16,0),"")</f>
        <v/>
      </c>
      <c r="L69" s="290" t="str">
        <f>IF(ISTEXT(E69),VLOOKUP(LEFT(E69,2),'Transparent components'!$C$17:$M$26,'Transparent components'!$M$16,0),"")</f>
        <v/>
      </c>
      <c r="M69" s="290" t="str">
        <f t="shared" si="16"/>
        <v/>
      </c>
      <c r="N69" s="290" t="str">
        <f>IF(ISTEXT(E69),VLOOKUP(LEFT(E69,2),'Transparent components'!$C$17:$N$26,'Transparent components'!$N$16,0)+AC69*$H$13,"")</f>
        <v/>
      </c>
      <c r="O69" s="329" t="str">
        <f t="shared" si="17"/>
        <v/>
      </c>
      <c r="P69" s="320" t="str">
        <f t="shared" si="18"/>
        <v/>
      </c>
      <c r="Q69" s="320" t="str">
        <f t="shared" si="19"/>
        <v/>
      </c>
      <c r="R69" s="329" t="str">
        <f t="shared" si="20"/>
        <v/>
      </c>
      <c r="S69" s="19"/>
      <c r="T69" s="305" t="str">
        <f t="shared" si="14"/>
        <v/>
      </c>
      <c r="U69" s="217" t="str">
        <f t="shared" si="15"/>
        <v/>
      </c>
      <c r="V69" s="217" t="e">
        <f>U69*K69*'Transparent components'!$E$9</f>
        <v>#VALUE!</v>
      </c>
      <c r="W69" s="294" t="str">
        <f t="shared" si="21"/>
        <v/>
      </c>
      <c r="X69" s="219" t="str">
        <f t="shared" si="22"/>
        <v/>
      </c>
      <c r="Y69" s="217" t="e">
        <f>W69/(Balance!$H$17*Balance!$H$18*Balance!$H$19)*Balance!$H$22</f>
        <v>#VALUE!</v>
      </c>
      <c r="Z69" s="217" t="e">
        <f>W69/Balance!$H$18*Balance!$H$22</f>
        <v>#VALUE!</v>
      </c>
      <c r="AA69" s="217" t="e">
        <f>W69/(Balance!$H$18*Balance!$H$19)*Balance!$H$23</f>
        <v>#VALUE!</v>
      </c>
      <c r="AB69" s="218" t="e">
        <f>W69/(Balance!$H$18*Balance!$H$19)*Balance!$H$24</f>
        <v>#VALUE!</v>
      </c>
      <c r="AC69" s="219" t="str">
        <f t="shared" si="23"/>
        <v/>
      </c>
      <c r="AD69" s="217" t="e">
        <f ca="1">W69/(Balance!$H$17*Balance!$H$18*Balance!$H$19)*Balance!$G$22/1000</f>
        <v>#VALUE!</v>
      </c>
      <c r="AE69" s="217" t="e">
        <f ca="1">W69/Balance!$H$18*Balance!$G$22/1000</f>
        <v>#VALUE!</v>
      </c>
      <c r="AF69" s="217" t="e">
        <f ca="1">W69/(Balance!$H$18*Balance!$H$19)*Balance!$G$23/1000</f>
        <v>#VALUE!</v>
      </c>
      <c r="AG69" s="218" t="e">
        <f ca="1">W69/(Balance!$H$18*Balance!$H$19)*Balance!$G$24/1000</f>
        <v>#VALUE!</v>
      </c>
    </row>
    <row r="70" spans="4:33" x14ac:dyDescent="0.25">
      <c r="D70" s="18"/>
      <c r="E70" s="20"/>
      <c r="F70" s="20"/>
      <c r="G70" s="20"/>
      <c r="H70" s="20"/>
      <c r="I70" s="140">
        <f>SUM(I58:I69)</f>
        <v>38.79</v>
      </c>
      <c r="J70" s="20"/>
      <c r="K70" s="229" t="s">
        <v>905</v>
      </c>
      <c r="L70" s="228"/>
      <c r="M70" s="228"/>
      <c r="N70" s="324"/>
      <c r="O70" s="327">
        <f>SUM(O58:O69)</f>
        <v>8332.2423215067029</v>
      </c>
      <c r="P70" s="322">
        <f t="shared" ref="P70" si="25">SUM(P58:P69)</f>
        <v>-2505.9893688003031</v>
      </c>
      <c r="Q70" s="322">
        <f t="shared" ref="Q70:R70" ca="1" si="26">SUM(Q58:Q69)</f>
        <v>1793.9586592369847</v>
      </c>
      <c r="R70" s="322">
        <f t="shared" si="26"/>
        <v>-187.94920266002273</v>
      </c>
      <c r="S70" s="19"/>
      <c r="T70" s="215"/>
    </row>
    <row r="71" spans="4:33" ht="18" x14ac:dyDescent="0.35">
      <c r="D71" s="18"/>
      <c r="E71" s="20"/>
      <c r="F71" s="20"/>
      <c r="G71" s="20"/>
      <c r="H71" s="20"/>
      <c r="I71" s="20"/>
      <c r="J71" s="20"/>
      <c r="K71" s="24" t="s">
        <v>909</v>
      </c>
      <c r="L71" s="228"/>
      <c r="M71" s="228"/>
      <c r="N71" s="228"/>
      <c r="O71" s="212">
        <f>O70/$H$26</f>
        <v>52.076514509416896</v>
      </c>
      <c r="P71" s="303">
        <f>P70/$H$26</f>
        <v>-15.662433555001893</v>
      </c>
      <c r="Q71" s="303">
        <f ca="1">Q70/$H$26</f>
        <v>11.212241620231154</v>
      </c>
      <c r="R71" s="303">
        <f>R70/$H$26</f>
        <v>-1.174682516625142</v>
      </c>
      <c r="S71" s="19"/>
    </row>
    <row r="72" spans="4:33" x14ac:dyDescent="0.25">
      <c r="D72" s="18"/>
      <c r="E72" s="20"/>
      <c r="F72" s="20"/>
      <c r="G72" s="20"/>
      <c r="H72" s="20"/>
      <c r="I72" s="20"/>
      <c r="J72" s="20"/>
      <c r="K72" s="20"/>
      <c r="L72" s="228"/>
      <c r="M72" s="228"/>
      <c r="N72" s="228"/>
      <c r="O72" s="20"/>
      <c r="P72" s="20"/>
      <c r="Q72" s="20"/>
      <c r="R72" s="20"/>
      <c r="S72" s="19"/>
    </row>
    <row r="73" spans="4:33" ht="22.5" x14ac:dyDescent="0.25">
      <c r="D73" s="18"/>
      <c r="E73" s="308" t="s">
        <v>917</v>
      </c>
      <c r="F73" s="20"/>
      <c r="G73" s="20"/>
      <c r="H73" s="20"/>
      <c r="I73" s="292" t="s">
        <v>907</v>
      </c>
      <c r="J73" s="292" t="str">
        <f>J56</f>
        <v>U-value</v>
      </c>
      <c r="K73" s="292" t="s">
        <v>906</v>
      </c>
      <c r="L73" s="293" t="str">
        <f>L56</f>
        <v>Energy construction</v>
      </c>
      <c r="M73" s="293" t="str">
        <f>M56</f>
        <v>Energy service</v>
      </c>
      <c r="N73" s="293" t="str">
        <f>N56</f>
        <v>GWP total</v>
      </c>
      <c r="O73" s="292" t="str">
        <f>L73</f>
        <v>Energy construction</v>
      </c>
      <c r="P73" s="292" t="str">
        <f t="shared" ref="P73" si="27">M73</f>
        <v>Energy service</v>
      </c>
      <c r="Q73" s="292" t="str">
        <f t="shared" ref="Q73" si="28">N73</f>
        <v>GWP total</v>
      </c>
      <c r="R73" s="292" t="s">
        <v>953</v>
      </c>
      <c r="S73" s="19"/>
      <c r="T73" s="297" t="s">
        <v>904</v>
      </c>
    </row>
    <row r="74" spans="4:33" x14ac:dyDescent="0.25">
      <c r="D74" s="18"/>
      <c r="E74" s="282"/>
      <c r="F74" s="282"/>
      <c r="G74" s="282"/>
      <c r="H74" s="282"/>
      <c r="I74" s="120" t="s">
        <v>681</v>
      </c>
      <c r="J74" s="120" t="s">
        <v>10</v>
      </c>
      <c r="K74" s="120" t="s">
        <v>898</v>
      </c>
      <c r="L74" s="203">
        <f>'Opaque assemblies'!K47</f>
        <v>0</v>
      </c>
      <c r="M74" s="203">
        <f>'Opaque assemblies'!L47</f>
        <v>0</v>
      </c>
      <c r="N74" s="203" t="s">
        <v>901</v>
      </c>
      <c r="O74" s="120" t="s">
        <v>900</v>
      </c>
      <c r="P74" s="120" t="s">
        <v>900</v>
      </c>
      <c r="Q74" s="120" t="s">
        <v>902</v>
      </c>
      <c r="R74" s="120" t="s">
        <v>952</v>
      </c>
      <c r="S74" s="19"/>
      <c r="T74" s="297" t="s">
        <v>900</v>
      </c>
    </row>
    <row r="75" spans="4:33" collapsed="1" x14ac:dyDescent="0.25">
      <c r="D75" s="239" t="str">
        <f>TEXT(1,"00")</f>
        <v>01</v>
      </c>
      <c r="E75" s="408" t="s">
        <v>984</v>
      </c>
      <c r="F75" s="411"/>
      <c r="G75" s="409"/>
      <c r="H75" s="412"/>
      <c r="I75" s="79">
        <v>81</v>
      </c>
      <c r="J75" s="279">
        <f>IF(ISTEXT(E75),VLOOKUP(LEFT(E75,2),'Transparent components'!$C$49:$H$63,'Transparent components'!$H$46,0),"")</f>
        <v>0.7</v>
      </c>
      <c r="K75" s="279">
        <f>IF(ISTEXT(E75),VLOOKUP(LEFT(E75,2),'Transparent components'!$C$49:$N$63,'Transparent components'!$N$46,0),"")</f>
        <v>8.5999999999999993E-2</v>
      </c>
      <c r="L75" s="290">
        <f>IF(ISTEXT(E75),VLOOKUP(LEFT(E75,2),'Transparent components'!$C$49:$O$63,'Transparent components'!$O$46,0),"")</f>
        <v>29.103820856823432</v>
      </c>
      <c r="M75" s="290">
        <f>IF(ISTEXT(E75),VLOOKUP(LEFT(E75,2),'Transparent components'!$C$49:$Q$63,'Transparent components'!$Q$46,0),"")</f>
        <v>92.903999999999982</v>
      </c>
      <c r="N75" s="290">
        <f ca="1">IF(ISTEXT(E75),VLOOKUP(LEFT(E75,2),'Transparent components'!$C$49:$T$63,'Transparent components'!$T$46,0),"")</f>
        <v>20.373748134415209</v>
      </c>
      <c r="O75" s="285">
        <f>IF(ISNUMBER(I75),I75*L75,"")</f>
        <v>2357.409489402698</v>
      </c>
      <c r="P75" s="285">
        <f>IF(ISNUMBER(I75),I75*M75,"")</f>
        <v>7525.2239999999983</v>
      </c>
      <c r="Q75" s="285">
        <f ca="1">IF(ISNUMBER(I75),I75*N75,"")</f>
        <v>1650.2735988876318</v>
      </c>
      <c r="R75" s="285">
        <f>IF(ISNUMBER(T75),T75*I75,"")</f>
        <v>564.39179999999988</v>
      </c>
      <c r="S75" s="19"/>
      <c r="T75" s="305">
        <f>IF(ISTEXT(E75),VLOOKUP(LEFT(E75,2),'Transparent components'!$C$49:$W$63,'Transparent components'!$W$46,0),"")</f>
        <v>6.9677999999999987</v>
      </c>
    </row>
    <row r="76" spans="4:33" hidden="1" outlineLevel="1" x14ac:dyDescent="0.25">
      <c r="D76" s="239" t="str">
        <f>TEXT(1+D75,"00")</f>
        <v>02</v>
      </c>
      <c r="E76" s="408"/>
      <c r="F76" s="411"/>
      <c r="G76" s="409"/>
      <c r="H76" s="412"/>
      <c r="I76" s="79"/>
      <c r="J76" s="279" t="str">
        <f>IF(ISTEXT(E76),VLOOKUP(LEFT(E76,2),'Transparent components'!$C$49:$H$63,'Transparent components'!$H$46,0),"")</f>
        <v/>
      </c>
      <c r="K76" s="279" t="str">
        <f>IF(ISTEXT(E76),VLOOKUP(LEFT(E76,2),'Transparent components'!$C$49:$N$63,'Transparent components'!$N$46,0),"")</f>
        <v/>
      </c>
      <c r="L76" s="290" t="str">
        <f>IF(ISTEXT(E76),VLOOKUP(LEFT(E76,2),'Transparent components'!$C$49:$O$63,'Transparent components'!$O$46,0),"")</f>
        <v/>
      </c>
      <c r="M76" s="290" t="str">
        <f>IF(ISTEXT(E76),VLOOKUP(LEFT(E76,2),'Transparent components'!$C$49:$Q$63,'Transparent components'!$Q$46,0),"")</f>
        <v/>
      </c>
      <c r="N76" s="290" t="str">
        <f>IF(ISTEXT(E76),VLOOKUP(LEFT(E76,2),'Transparent components'!$C$49:$T$63,'Transparent components'!$T$46,0),"")</f>
        <v/>
      </c>
      <c r="O76" s="285" t="str">
        <f t="shared" ref="O76:O86" si="29">IF(ISNUMBER(I76),I76*L76,"")</f>
        <v/>
      </c>
      <c r="P76" s="285" t="str">
        <f t="shared" ref="P76:P86" si="30">IF(ISNUMBER(I76),I76*M76,"")</f>
        <v/>
      </c>
      <c r="Q76" s="283" t="str">
        <f t="shared" ref="Q76:Q86" si="31">IF(ISNUMBER(I76),I76*N76,"")</f>
        <v/>
      </c>
      <c r="R76" s="285" t="str">
        <f t="shared" ref="R76:R86" si="32">IF(ISNUMBER(T76),T76*I76,"")</f>
        <v/>
      </c>
      <c r="S76" s="19"/>
      <c r="T76" s="305" t="str">
        <f>IF(ISTEXT(E76),VLOOKUP(LEFT(E76,2),'Transparent components'!$C$49:$W$63,'Transparent components'!$W$46,0),"")</f>
        <v/>
      </c>
    </row>
    <row r="77" spans="4:33" hidden="1" outlineLevel="1" x14ac:dyDescent="0.25">
      <c r="D77" s="239" t="str">
        <f t="shared" ref="D77:D86" si="33">TEXT(1+D76,"00")</f>
        <v>03</v>
      </c>
      <c r="E77" s="408"/>
      <c r="F77" s="411"/>
      <c r="G77" s="409"/>
      <c r="H77" s="412"/>
      <c r="I77" s="79"/>
      <c r="J77" s="279" t="str">
        <f>IF(ISTEXT(E77),VLOOKUP(LEFT(E77,2),'Transparent components'!$C$49:$H$63,'Transparent components'!$H$46,0),"")</f>
        <v/>
      </c>
      <c r="K77" s="279" t="str">
        <f>IF(ISTEXT(E77),VLOOKUP(LEFT(E77,2),'Transparent components'!$C$49:$N$63,'Transparent components'!$N$46,0),"")</f>
        <v/>
      </c>
      <c r="L77" s="290" t="str">
        <f>IF(ISTEXT(E77),VLOOKUP(LEFT(E77,2),'Transparent components'!$C$49:$O$63,'Transparent components'!$O$46,0),"")</f>
        <v/>
      </c>
      <c r="M77" s="290" t="str">
        <f>IF(ISTEXT(E77),VLOOKUP(LEFT(E77,2),'Transparent components'!$C$49:$Q$63,'Transparent components'!$Q$46,0),"")</f>
        <v/>
      </c>
      <c r="N77" s="290" t="str">
        <f>IF(ISTEXT(E77),VLOOKUP(LEFT(E77,2),'Transparent components'!$C$49:$T$63,'Transparent components'!$T$46,0),"")</f>
        <v/>
      </c>
      <c r="O77" s="285" t="str">
        <f t="shared" si="29"/>
        <v/>
      </c>
      <c r="P77" s="285" t="str">
        <f t="shared" si="30"/>
        <v/>
      </c>
      <c r="Q77" s="283" t="str">
        <f t="shared" si="31"/>
        <v/>
      </c>
      <c r="R77" s="285" t="str">
        <f t="shared" si="32"/>
        <v/>
      </c>
      <c r="S77" s="19"/>
      <c r="T77" s="305" t="str">
        <f>IF(ISTEXT(E77),VLOOKUP(LEFT(E77,2),'Transparent components'!$C$49:$W$63,'Transparent components'!$W$46,0),"")</f>
        <v/>
      </c>
    </row>
    <row r="78" spans="4:33" hidden="1" outlineLevel="1" x14ac:dyDescent="0.25">
      <c r="D78" s="239" t="str">
        <f t="shared" si="33"/>
        <v>04</v>
      </c>
      <c r="E78" s="408"/>
      <c r="F78" s="411"/>
      <c r="G78" s="409"/>
      <c r="H78" s="412"/>
      <c r="I78" s="79"/>
      <c r="J78" s="279" t="str">
        <f>IF(ISTEXT(E78),VLOOKUP(LEFT(E78,2),'Transparent components'!$C$49:$H$63,'Transparent components'!$H$46,0),"")</f>
        <v/>
      </c>
      <c r="K78" s="279" t="str">
        <f>IF(ISTEXT(E78),VLOOKUP(LEFT(E78,2),'Transparent components'!$C$49:$N$63,'Transparent components'!$N$46,0),"")</f>
        <v/>
      </c>
      <c r="L78" s="290" t="str">
        <f>IF(ISTEXT(E78),VLOOKUP(LEFT(E78,2),'Transparent components'!$C$49:$O$63,'Transparent components'!$O$46,0),"")</f>
        <v/>
      </c>
      <c r="M78" s="290" t="str">
        <f>IF(ISTEXT(E78),VLOOKUP(LEFT(E78,2),'Transparent components'!$C$49:$Q$63,'Transparent components'!$Q$46,0),"")</f>
        <v/>
      </c>
      <c r="N78" s="290" t="str">
        <f>IF(ISTEXT(E78),VLOOKUP(LEFT(E78,2),'Transparent components'!$C$49:$T$63,'Transparent components'!$T$46,0),"")</f>
        <v/>
      </c>
      <c r="O78" s="285" t="str">
        <f t="shared" si="29"/>
        <v/>
      </c>
      <c r="P78" s="285" t="str">
        <f t="shared" si="30"/>
        <v/>
      </c>
      <c r="Q78" s="283" t="str">
        <f t="shared" si="31"/>
        <v/>
      </c>
      <c r="R78" s="285" t="str">
        <f t="shared" si="32"/>
        <v/>
      </c>
      <c r="S78" s="19"/>
      <c r="T78" s="305" t="str">
        <f>IF(ISTEXT(E78),VLOOKUP(LEFT(E78,2),'Transparent components'!$C$49:$W$63,'Transparent components'!$W$46,0),"")</f>
        <v/>
      </c>
    </row>
    <row r="79" spans="4:33" hidden="1" outlineLevel="1" x14ac:dyDescent="0.25">
      <c r="D79" s="239" t="str">
        <f t="shared" si="33"/>
        <v>05</v>
      </c>
      <c r="E79" s="408"/>
      <c r="F79" s="411"/>
      <c r="G79" s="409"/>
      <c r="H79" s="412"/>
      <c r="I79" s="79"/>
      <c r="J79" s="279" t="str">
        <f>IF(ISTEXT(E79),VLOOKUP(LEFT(E79,2),'Transparent components'!$C$49:$H$63,'Transparent components'!$H$46,0),"")</f>
        <v/>
      </c>
      <c r="K79" s="279" t="str">
        <f>IF(ISTEXT(E79),VLOOKUP(LEFT(E79,2),'Transparent components'!$C$49:$N$63,'Transparent components'!$N$46,0),"")</f>
        <v/>
      </c>
      <c r="L79" s="290" t="str">
        <f>IF(ISTEXT(E79),VLOOKUP(LEFT(E79,2),'Transparent components'!$C$49:$O$63,'Transparent components'!$O$46,0),"")</f>
        <v/>
      </c>
      <c r="M79" s="290" t="str">
        <f>IF(ISTEXT(E79),VLOOKUP(LEFT(E79,2),'Transparent components'!$C$49:$Q$63,'Transparent components'!$Q$46,0),"")</f>
        <v/>
      </c>
      <c r="N79" s="290" t="str">
        <f>IF(ISTEXT(E79),VLOOKUP(LEFT(E79,2),'Transparent components'!$C$49:$T$63,'Transparent components'!$T$46,0),"")</f>
        <v/>
      </c>
      <c r="O79" s="285" t="str">
        <f t="shared" si="29"/>
        <v/>
      </c>
      <c r="P79" s="285" t="str">
        <f t="shared" si="30"/>
        <v/>
      </c>
      <c r="Q79" s="283" t="str">
        <f t="shared" si="31"/>
        <v/>
      </c>
      <c r="R79" s="285" t="str">
        <f t="shared" si="32"/>
        <v/>
      </c>
      <c r="S79" s="19"/>
      <c r="T79" s="305" t="str">
        <f>IF(ISTEXT(E79),VLOOKUP(LEFT(E79,2),'Transparent components'!$C$49:$W$63,'Transparent components'!$W$46,0),"")</f>
        <v/>
      </c>
    </row>
    <row r="80" spans="4:33" hidden="1" outlineLevel="1" x14ac:dyDescent="0.25">
      <c r="D80" s="239" t="str">
        <f t="shared" si="33"/>
        <v>06</v>
      </c>
      <c r="E80" s="408"/>
      <c r="F80" s="411"/>
      <c r="G80" s="409"/>
      <c r="H80" s="412"/>
      <c r="I80" s="79"/>
      <c r="J80" s="279" t="str">
        <f>IF(ISTEXT(E80),VLOOKUP(LEFT(E80,2),'Transparent components'!$C$49:$H$63,'Transparent components'!$H$46,0),"")</f>
        <v/>
      </c>
      <c r="K80" s="279" t="str">
        <f>IF(ISTEXT(E80),VLOOKUP(LEFT(E80,2),'Transparent components'!$C$49:$N$63,'Transparent components'!$N$46,0),"")</f>
        <v/>
      </c>
      <c r="L80" s="290" t="str">
        <f>IF(ISTEXT(E80),VLOOKUP(LEFT(E80,2),'Transparent components'!$C$49:$O$63,'Transparent components'!$O$46,0),"")</f>
        <v/>
      </c>
      <c r="M80" s="290" t="str">
        <f>IF(ISTEXT(E80),VLOOKUP(LEFT(E80,2),'Transparent components'!$C$49:$Q$63,'Transparent components'!$Q$46,0),"")</f>
        <v/>
      </c>
      <c r="N80" s="290" t="str">
        <f>IF(ISTEXT(E80),VLOOKUP(LEFT(E80,2),'Transparent components'!$C$49:$T$63,'Transparent components'!$T$46,0),"")</f>
        <v/>
      </c>
      <c r="O80" s="285" t="str">
        <f t="shared" si="29"/>
        <v/>
      </c>
      <c r="P80" s="285" t="str">
        <f t="shared" si="30"/>
        <v/>
      </c>
      <c r="Q80" s="283" t="str">
        <f t="shared" si="31"/>
        <v/>
      </c>
      <c r="R80" s="285" t="str">
        <f t="shared" si="32"/>
        <v/>
      </c>
      <c r="S80" s="19"/>
      <c r="T80" s="305" t="str">
        <f>IF(ISTEXT(E80),VLOOKUP(LEFT(E80,2),'Transparent components'!$C$49:$W$63,'Transparent components'!$W$46,0),"")</f>
        <v/>
      </c>
    </row>
    <row r="81" spans="4:20" hidden="1" outlineLevel="1" x14ac:dyDescent="0.25">
      <c r="D81" s="239" t="str">
        <f t="shared" si="33"/>
        <v>07</v>
      </c>
      <c r="E81" s="408"/>
      <c r="F81" s="411"/>
      <c r="G81" s="409"/>
      <c r="H81" s="412"/>
      <c r="I81" s="79"/>
      <c r="J81" s="279" t="str">
        <f>IF(ISTEXT(E81),VLOOKUP(LEFT(E81,2),'Transparent components'!$C$49:$H$63,'Transparent components'!$H$46,0),"")</f>
        <v/>
      </c>
      <c r="K81" s="279" t="str">
        <f>IF(ISTEXT(E81),VLOOKUP(LEFT(E81,2),'Transparent components'!$C$49:$N$63,'Transparent components'!$N$46,0),"")</f>
        <v/>
      </c>
      <c r="L81" s="290" t="str">
        <f>IF(ISTEXT(E81),VLOOKUP(LEFT(E81,2),'Transparent components'!$C$49:$O$63,'Transparent components'!$O$46,0),"")</f>
        <v/>
      </c>
      <c r="M81" s="290" t="str">
        <f>IF(ISTEXT(E81),VLOOKUP(LEFT(E81,2),'Transparent components'!$C$49:$Q$63,'Transparent components'!$Q$46,0),"")</f>
        <v/>
      </c>
      <c r="N81" s="290" t="str">
        <f>IF(ISTEXT(E81),VLOOKUP(LEFT(E81,2),'Transparent components'!$C$49:$T$63,'Transparent components'!$T$46,0),"")</f>
        <v/>
      </c>
      <c r="O81" s="285" t="str">
        <f t="shared" si="29"/>
        <v/>
      </c>
      <c r="P81" s="285" t="str">
        <f t="shared" si="30"/>
        <v/>
      </c>
      <c r="Q81" s="283" t="str">
        <f t="shared" si="31"/>
        <v/>
      </c>
      <c r="R81" s="285" t="str">
        <f t="shared" si="32"/>
        <v/>
      </c>
      <c r="S81" s="19"/>
      <c r="T81" s="305" t="str">
        <f>IF(ISTEXT(E81),VLOOKUP(LEFT(E81,2),'Transparent components'!$C$49:$W$63,'Transparent components'!$W$46,0),"")</f>
        <v/>
      </c>
    </row>
    <row r="82" spans="4:20" hidden="1" outlineLevel="1" x14ac:dyDescent="0.25">
      <c r="D82" s="239" t="str">
        <f t="shared" si="33"/>
        <v>08</v>
      </c>
      <c r="E82" s="408"/>
      <c r="F82" s="411"/>
      <c r="G82" s="409"/>
      <c r="H82" s="412"/>
      <c r="I82" s="79"/>
      <c r="J82" s="279" t="str">
        <f>IF(ISTEXT(E82),VLOOKUP(LEFT(E82,2),'Transparent components'!$C$49:$H$63,'Transparent components'!$H$46,0),"")</f>
        <v/>
      </c>
      <c r="K82" s="279" t="str">
        <f>IF(ISTEXT(E82),VLOOKUP(LEFT(E82,2),'Transparent components'!$C$49:$N$63,'Transparent components'!$N$46,0),"")</f>
        <v/>
      </c>
      <c r="L82" s="290" t="str">
        <f>IF(ISTEXT(E82),VLOOKUP(LEFT(E82,2),'Transparent components'!$C$49:$O$63,'Transparent components'!$O$46,0),"")</f>
        <v/>
      </c>
      <c r="M82" s="290" t="str">
        <f>IF(ISTEXT(E82),VLOOKUP(LEFT(E82,2),'Transparent components'!$C$49:$Q$63,'Transparent components'!$Q$46,0),"")</f>
        <v/>
      </c>
      <c r="N82" s="290" t="str">
        <f>IF(ISTEXT(E82),VLOOKUP(LEFT(E82,2),'Transparent components'!$C$49:$T$63,'Transparent components'!$T$46,0),"")</f>
        <v/>
      </c>
      <c r="O82" s="285" t="str">
        <f t="shared" si="29"/>
        <v/>
      </c>
      <c r="P82" s="285" t="str">
        <f t="shared" si="30"/>
        <v/>
      </c>
      <c r="Q82" s="283" t="str">
        <f t="shared" si="31"/>
        <v/>
      </c>
      <c r="R82" s="285" t="str">
        <f t="shared" si="32"/>
        <v/>
      </c>
      <c r="S82" s="19"/>
      <c r="T82" s="305" t="str">
        <f>IF(ISTEXT(E82),VLOOKUP(LEFT(E82,2),'Transparent components'!$C$49:$W$63,'Transparent components'!$W$46,0),"")</f>
        <v/>
      </c>
    </row>
    <row r="83" spans="4:20" hidden="1" outlineLevel="1" x14ac:dyDescent="0.25">
      <c r="D83" s="239" t="str">
        <f t="shared" si="33"/>
        <v>09</v>
      </c>
      <c r="E83" s="408"/>
      <c r="F83" s="411"/>
      <c r="G83" s="409"/>
      <c r="H83" s="412"/>
      <c r="I83" s="79"/>
      <c r="J83" s="279" t="str">
        <f>IF(ISTEXT(E83),VLOOKUP(LEFT(E83,2),'Transparent components'!$C$49:$H$63,'Transparent components'!$H$46,0),"")</f>
        <v/>
      </c>
      <c r="K83" s="279" t="str">
        <f>IF(ISTEXT(E83),VLOOKUP(LEFT(E83,2),'Transparent components'!$C$49:$N$63,'Transparent components'!$N$46,0),"")</f>
        <v/>
      </c>
      <c r="L83" s="290" t="str">
        <f>IF(ISTEXT(E83),VLOOKUP(LEFT(E83,2),'Transparent components'!$C$49:$O$63,'Transparent components'!$O$46,0),"")</f>
        <v/>
      </c>
      <c r="M83" s="290" t="str">
        <f>IF(ISTEXT(E83),VLOOKUP(LEFT(E83,2),'Transparent components'!$C$49:$Q$63,'Transparent components'!$Q$46,0),"")</f>
        <v/>
      </c>
      <c r="N83" s="290" t="str">
        <f>IF(ISTEXT(E83),VLOOKUP(LEFT(E83,2),'Transparent components'!$C$49:$T$63,'Transparent components'!$T$46,0),"")</f>
        <v/>
      </c>
      <c r="O83" s="285" t="str">
        <f t="shared" si="29"/>
        <v/>
      </c>
      <c r="P83" s="285" t="str">
        <f t="shared" si="30"/>
        <v/>
      </c>
      <c r="Q83" s="283" t="str">
        <f t="shared" si="31"/>
        <v/>
      </c>
      <c r="R83" s="285" t="str">
        <f t="shared" si="32"/>
        <v/>
      </c>
      <c r="S83" s="19"/>
      <c r="T83" s="305" t="str">
        <f>IF(ISTEXT(E83),VLOOKUP(LEFT(E83,2),'Transparent components'!$C$49:$W$63,'Transparent components'!$W$46,0),"")</f>
        <v/>
      </c>
    </row>
    <row r="84" spans="4:20" hidden="1" outlineLevel="1" x14ac:dyDescent="0.25">
      <c r="D84" s="239" t="str">
        <f t="shared" si="33"/>
        <v>10</v>
      </c>
      <c r="E84" s="408"/>
      <c r="F84" s="411"/>
      <c r="G84" s="409"/>
      <c r="H84" s="412"/>
      <c r="I84" s="79"/>
      <c r="J84" s="279" t="str">
        <f>IF(ISTEXT(E84),VLOOKUP(LEFT(E84,2),'Transparent components'!$C$49:$H$63,'Transparent components'!$H$46,0),"")</f>
        <v/>
      </c>
      <c r="K84" s="279" t="str">
        <f>IF(ISTEXT(E84),VLOOKUP(LEFT(E84,2),'Transparent components'!$C$49:$N$63,'Transparent components'!$N$46,0),"")</f>
        <v/>
      </c>
      <c r="L84" s="290" t="str">
        <f>IF(ISTEXT(E84),VLOOKUP(LEFT(E84,2),'Transparent components'!$C$49:$O$63,'Transparent components'!$O$46,0),"")</f>
        <v/>
      </c>
      <c r="M84" s="290" t="str">
        <f>IF(ISTEXT(E84),VLOOKUP(LEFT(E84,2),'Transparent components'!$C$49:$Q$63,'Transparent components'!$Q$46,0),"")</f>
        <v/>
      </c>
      <c r="N84" s="290" t="str">
        <f>IF(ISTEXT(E84),VLOOKUP(LEFT(E84,2),'Transparent components'!$C$49:$T$63,'Transparent components'!$T$46,0),"")</f>
        <v/>
      </c>
      <c r="O84" s="285" t="str">
        <f t="shared" si="29"/>
        <v/>
      </c>
      <c r="P84" s="285" t="str">
        <f t="shared" si="30"/>
        <v/>
      </c>
      <c r="Q84" s="283" t="str">
        <f t="shared" si="31"/>
        <v/>
      </c>
      <c r="R84" s="285" t="str">
        <f t="shared" si="32"/>
        <v/>
      </c>
      <c r="S84" s="19"/>
      <c r="T84" s="305" t="str">
        <f>IF(ISTEXT(E84),VLOOKUP(LEFT(E84,2),'Transparent components'!$C$49:$W$63,'Transparent components'!$W$46,0),"")</f>
        <v/>
      </c>
    </row>
    <row r="85" spans="4:20" hidden="1" outlineLevel="1" x14ac:dyDescent="0.25">
      <c r="D85" s="239" t="str">
        <f t="shared" si="33"/>
        <v>11</v>
      </c>
      <c r="E85" s="408"/>
      <c r="F85" s="411"/>
      <c r="G85" s="409"/>
      <c r="H85" s="412"/>
      <c r="I85" s="79"/>
      <c r="J85" s="279" t="str">
        <f>IF(ISTEXT(E85),VLOOKUP(LEFT(E85,2),'Transparent components'!$C$49:$H$63,'Transparent components'!$H$46,0),"")</f>
        <v/>
      </c>
      <c r="K85" s="279" t="str">
        <f>IF(ISTEXT(E85),VLOOKUP(LEFT(E85,2),'Transparent components'!$C$49:$N$63,'Transparent components'!$N$46,0),"")</f>
        <v/>
      </c>
      <c r="L85" s="290" t="str">
        <f>IF(ISTEXT(E85),VLOOKUP(LEFT(E85,2),'Transparent components'!$C$49:$O$63,'Transparent components'!$O$46,0),"")</f>
        <v/>
      </c>
      <c r="M85" s="290" t="str">
        <f>IF(ISTEXT(E85),VLOOKUP(LEFT(E85,2),'Transparent components'!$C$49:$Q$63,'Transparent components'!$Q$46,0),"")</f>
        <v/>
      </c>
      <c r="N85" s="290" t="str">
        <f>IF(ISTEXT(E85),VLOOKUP(LEFT(E85,2),'Transparent components'!$C$49:$T$63,'Transparent components'!$T$46,0),"")</f>
        <v/>
      </c>
      <c r="O85" s="285" t="str">
        <f t="shared" si="29"/>
        <v/>
      </c>
      <c r="P85" s="285" t="str">
        <f t="shared" si="30"/>
        <v/>
      </c>
      <c r="Q85" s="283" t="str">
        <f t="shared" si="31"/>
        <v/>
      </c>
      <c r="R85" s="285" t="str">
        <f t="shared" si="32"/>
        <v/>
      </c>
      <c r="S85" s="19"/>
      <c r="T85" s="305" t="str">
        <f>IF(ISTEXT(E85),VLOOKUP(LEFT(E85,2),'Transparent components'!$C$49:$W$63,'Transparent components'!$W$46,0),"")</f>
        <v/>
      </c>
    </row>
    <row r="86" spans="4:20" x14ac:dyDescent="0.25">
      <c r="D86" s="239" t="str">
        <f t="shared" si="33"/>
        <v>12</v>
      </c>
      <c r="E86" s="408"/>
      <c r="F86" s="411"/>
      <c r="G86" s="409"/>
      <c r="H86" s="412"/>
      <c r="I86" s="79"/>
      <c r="J86" s="279" t="str">
        <f>IF(ISTEXT(E86),VLOOKUP(LEFT(E86,2),'Transparent components'!$C$49:$H$63,'Transparent components'!$H$46,0),"")</f>
        <v/>
      </c>
      <c r="K86" s="279" t="str">
        <f>IF(ISTEXT(E86),VLOOKUP(LEFT(E86,2),'Transparent components'!$C$49:$N$63,'Transparent components'!$N$46,0),"")</f>
        <v/>
      </c>
      <c r="L86" s="290" t="str">
        <f>IF(ISTEXT(E86),VLOOKUP(LEFT(E86,2),'Transparent components'!$C$49:$O$63,'Transparent components'!$O$46,0),"")</f>
        <v/>
      </c>
      <c r="M86" s="290" t="str">
        <f>IF(ISTEXT(E86),VLOOKUP(LEFT(E86,2),'Transparent components'!$C$49:$Q$63,'Transparent components'!$Q$46,0),"")</f>
        <v/>
      </c>
      <c r="N86" s="290" t="str">
        <f>IF(ISTEXT(E86),VLOOKUP(LEFT(E86,2),'Transparent components'!$C$49:$T$63,'Transparent components'!$T$46,0),"")</f>
        <v/>
      </c>
      <c r="O86" s="329" t="str">
        <f t="shared" si="29"/>
        <v/>
      </c>
      <c r="P86" s="320" t="str">
        <f t="shared" si="30"/>
        <v/>
      </c>
      <c r="Q86" s="330" t="str">
        <f t="shared" si="31"/>
        <v/>
      </c>
      <c r="R86" s="329" t="str">
        <f t="shared" si="32"/>
        <v/>
      </c>
      <c r="S86" s="19"/>
      <c r="T86" s="305" t="str">
        <f>IF(ISTEXT(E86),VLOOKUP(LEFT(E86,2),'Transparent components'!$C$49:$W$63,'Transparent components'!$W$46,0),"")</f>
        <v/>
      </c>
    </row>
    <row r="87" spans="4:20" x14ac:dyDescent="0.25">
      <c r="D87" s="18"/>
      <c r="E87" s="20"/>
      <c r="F87" s="20"/>
      <c r="G87" s="20"/>
      <c r="H87" s="20"/>
      <c r="I87" s="140">
        <f>SUM(I75:I86)</f>
        <v>81</v>
      </c>
      <c r="J87" s="229"/>
      <c r="K87" s="229" t="s">
        <v>905</v>
      </c>
      <c r="L87" s="228"/>
      <c r="M87" s="228"/>
      <c r="N87" s="295"/>
      <c r="O87" s="327">
        <f>SUM(O75:O86)</f>
        <v>2357.409489402698</v>
      </c>
      <c r="P87" s="322">
        <f>SUM(P75:P86)</f>
        <v>7525.2239999999983</v>
      </c>
      <c r="Q87" s="322">
        <f ca="1">SUM(Q75:Q86)</f>
        <v>1650.2735988876318</v>
      </c>
      <c r="R87" s="322">
        <f>SUM(R75:R86)</f>
        <v>564.39179999999988</v>
      </c>
      <c r="S87" s="19"/>
    </row>
    <row r="88" spans="4:20" ht="18" x14ac:dyDescent="0.35">
      <c r="D88" s="18"/>
      <c r="E88" s="20"/>
      <c r="F88" s="20"/>
      <c r="G88" s="20"/>
      <c r="H88" s="20"/>
      <c r="I88" s="20"/>
      <c r="J88" s="229"/>
      <c r="K88" s="24" t="s">
        <v>909</v>
      </c>
      <c r="L88" s="228"/>
      <c r="M88" s="228"/>
      <c r="N88" s="228"/>
      <c r="O88" s="212">
        <f>O87/$H$26</f>
        <v>14.733809308766862</v>
      </c>
      <c r="P88" s="303">
        <f>P87/$H$26</f>
        <v>47.03264999999999</v>
      </c>
      <c r="Q88" s="303">
        <f ca="1">Q87/$H$26</f>
        <v>10.314209993047699</v>
      </c>
      <c r="R88" s="303">
        <f>R87/$H$26</f>
        <v>3.5274487499999991</v>
      </c>
      <c r="S88" s="19"/>
    </row>
    <row r="89" spans="4:20" x14ac:dyDescent="0.25">
      <c r="D89" s="21"/>
      <c r="E89" s="22"/>
      <c r="F89" s="22"/>
      <c r="G89" s="22"/>
      <c r="H89" s="22"/>
      <c r="I89" s="22"/>
      <c r="J89" s="22"/>
      <c r="K89" s="22"/>
      <c r="L89" s="22"/>
      <c r="M89" s="22"/>
      <c r="N89" s="22"/>
      <c r="O89" s="22"/>
      <c r="P89" s="22"/>
      <c r="Q89" s="22"/>
      <c r="R89" s="22"/>
      <c r="S89" s="23"/>
    </row>
  </sheetData>
  <mergeCells count="42">
    <mergeCell ref="G9:H9"/>
    <mergeCell ref="G30:H30"/>
    <mergeCell ref="G29:H29"/>
    <mergeCell ref="G31:H31"/>
    <mergeCell ref="E86:H86"/>
    <mergeCell ref="E75:H75"/>
    <mergeCell ref="E81:H81"/>
    <mergeCell ref="E82:H82"/>
    <mergeCell ref="E83:H83"/>
    <mergeCell ref="E84:H84"/>
    <mergeCell ref="E85:H85"/>
    <mergeCell ref="E76:H76"/>
    <mergeCell ref="E77:H77"/>
    <mergeCell ref="E78:H78"/>
    <mergeCell ref="E79:H79"/>
    <mergeCell ref="E80:H80"/>
    <mergeCell ref="E58:G58"/>
    <mergeCell ref="E59:G59"/>
    <mergeCell ref="E60:G60"/>
    <mergeCell ref="E61:G61"/>
    <mergeCell ref="E62:G62"/>
    <mergeCell ref="E63:G63"/>
    <mergeCell ref="E64:G64"/>
    <mergeCell ref="E65:G65"/>
    <mergeCell ref="E66:G66"/>
    <mergeCell ref="E67:G67"/>
    <mergeCell ref="G5:H5"/>
    <mergeCell ref="G16:H16"/>
    <mergeCell ref="E68:G68"/>
    <mergeCell ref="E69:G69"/>
    <mergeCell ref="E49:H49"/>
    <mergeCell ref="E38:H38"/>
    <mergeCell ref="E39:H39"/>
    <mergeCell ref="E40:H40"/>
    <mergeCell ref="E41:H41"/>
    <mergeCell ref="E42:H42"/>
    <mergeCell ref="E43:H43"/>
    <mergeCell ref="E44:H44"/>
    <mergeCell ref="E45:H45"/>
    <mergeCell ref="E46:H46"/>
    <mergeCell ref="E47:H47"/>
    <mergeCell ref="E48:H48"/>
  </mergeCells>
  <dataValidations count="9">
    <dataValidation type="list" allowBlank="1" showInputMessage="1" showErrorMessage="1" sqref="H58:H69">
      <formula1>$AI$57:$AI$61</formula1>
    </dataValidation>
    <dataValidation type="list" allowBlank="1" showInputMessage="1" showErrorMessage="1" sqref="G18:G20 F10">
      <formula1>$C$11:$C$30</formula1>
    </dataValidation>
    <dataValidation type="list" allowBlank="1" showInputMessage="1" showErrorMessage="1" sqref="G16:H16">
      <formula1>$AE$4:$AE$7</formula1>
    </dataValidation>
    <dataValidation type="list" allowBlank="1" showInputMessage="1" showErrorMessage="1" sqref="G5:H5">
      <formula1>$AI$4:$AI$23</formula1>
    </dataValidation>
    <dataValidation type="list" allowBlank="1" showInputMessage="1" showErrorMessage="1" sqref="H12">
      <formula1>$AG$10:$AG$11</formula1>
    </dataValidation>
    <dataValidation type="list" allowBlank="1" showInputMessage="1" showErrorMessage="1" sqref="G9:H9">
      <formula1>$AG$4:$AG$8</formula1>
    </dataValidation>
    <dataValidation type="list" allowBlank="1" showInputMessage="1" showErrorMessage="1" sqref="E38:H49">
      <formula1>$AI$25:$AI$41</formula1>
    </dataValidation>
    <dataValidation type="list" allowBlank="1" showInputMessage="1" showErrorMessage="1" sqref="E58:G69">
      <formula1>$AC$4:$AC$13</formula1>
    </dataValidation>
    <dataValidation type="list" allowBlank="1" showInputMessage="1" showErrorMessage="1" sqref="E75:H86">
      <formula1>$AA$4:$AA$18</formula1>
    </dataValidation>
  </dataValidations>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'Opaque assemblies'!$D$9:$D$25</xm:f>
          </x14:formula1>
          <xm:sqref>E50:F52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outlinePr summaryBelow="0" summaryRight="0"/>
  </sheetPr>
  <dimension ref="A1:BS508"/>
  <sheetViews>
    <sheetView showGridLines="0" topLeftCell="A402" zoomScale="85" zoomScaleNormal="85" workbookViewId="0">
      <selection activeCell="K449" sqref="K449"/>
    </sheetView>
  </sheetViews>
  <sheetFormatPr defaultColWidth="11.42578125" defaultRowHeight="15" outlineLevelRow="1" outlineLevelCol="1" x14ac:dyDescent="0.25"/>
  <cols>
    <col min="1" max="3" width="37.140625" customWidth="1"/>
    <col min="4" max="4" width="10.28515625" customWidth="1"/>
    <col min="5" max="5" width="79.140625" customWidth="1"/>
    <col min="6" max="6" width="8.7109375" customWidth="1" collapsed="1"/>
    <col min="7" max="10" width="10.28515625" hidden="1" customWidth="1" outlineLevel="1"/>
    <col min="11" max="11" width="12.28515625" customWidth="1"/>
    <col min="12" max="12" width="18.5703125" customWidth="1"/>
    <col min="13" max="13" width="8.28515625" customWidth="1" collapsed="1"/>
    <col min="14" max="17" width="10.28515625" hidden="1" customWidth="1" outlineLevel="1"/>
    <col min="18" max="18" width="10.28515625" customWidth="1"/>
    <col min="19" max="19" width="18.5703125" customWidth="1"/>
    <col min="20" max="20" width="7" customWidth="1" collapsed="1"/>
    <col min="21" max="24" width="10.28515625" hidden="1" customWidth="1" outlineLevel="1"/>
    <col min="25" max="25" width="6.28515625" customWidth="1"/>
    <col min="27" max="27" width="6.28515625" customWidth="1"/>
    <col min="29" max="29" width="7.28515625" hidden="1" customWidth="1"/>
    <col min="30" max="43" width="11.42578125" hidden="1" customWidth="1" outlineLevel="1"/>
    <col min="44" max="44" width="11.42578125" hidden="1" customWidth="1"/>
    <col min="45" max="48" width="11.42578125" hidden="1" customWidth="1" outlineLevel="1"/>
    <col min="49" max="49" width="2.5703125" hidden="1" customWidth="1" outlineLevel="1"/>
    <col min="50" max="53" width="11.42578125" hidden="1" customWidth="1" outlineLevel="1"/>
    <col min="54" max="54" width="11.42578125" hidden="1" customWidth="1"/>
    <col min="55" max="62" width="11.42578125" hidden="1" customWidth="1" outlineLevel="1"/>
    <col min="63" max="65" width="11.42578125" hidden="1" customWidth="1"/>
    <col min="66" max="151" width="11.42578125" customWidth="1"/>
  </cols>
  <sheetData>
    <row r="1" spans="1:71" ht="15.75" thickBot="1" x14ac:dyDescent="0.3">
      <c r="B1" s="201"/>
      <c r="D1" s="20"/>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row>
    <row r="2" spans="1:71" ht="51" customHeight="1" thickTop="1" thickBot="1" x14ac:dyDescent="0.3">
      <c r="B2" s="201"/>
      <c r="C2" s="355" t="s">
        <v>363</v>
      </c>
      <c r="D2" s="355"/>
      <c r="E2" s="355"/>
      <c r="F2" s="355"/>
      <c r="G2" s="355"/>
      <c r="H2" s="355"/>
      <c r="I2" s="355"/>
      <c r="J2" s="355"/>
      <c r="K2" s="355"/>
      <c r="L2" s="355"/>
      <c r="M2" s="355"/>
      <c r="N2" s="355"/>
      <c r="O2" s="355"/>
      <c r="P2" s="355"/>
      <c r="Q2" s="355"/>
      <c r="R2" s="355"/>
      <c r="S2" s="355"/>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row>
    <row r="3" spans="1:71" ht="15.75" thickTop="1" x14ac:dyDescent="0.25">
      <c r="B3" s="201"/>
      <c r="S3" s="356" t="str">
        <f>Balance!$S$3</f>
        <v>outPHit Manufacturing-Energy-Tool v. 1.0</v>
      </c>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row>
    <row r="4" spans="1:71" x14ac:dyDescent="0.25">
      <c r="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row>
    <row r="5" spans="1:71" hidden="1" x14ac:dyDescent="0.25">
      <c r="A5" s="201"/>
      <c r="B5" s="201"/>
      <c r="C5" s="201">
        <v>2</v>
      </c>
      <c r="D5" s="201">
        <f>COLUMN()-$C$5</f>
        <v>2</v>
      </c>
      <c r="E5" s="201">
        <f t="shared" ref="E5:R5" si="0">COLUMN()-$C$5</f>
        <v>3</v>
      </c>
      <c r="F5" s="278">
        <f t="shared" si="0"/>
        <v>4</v>
      </c>
      <c r="G5" s="278">
        <f t="shared" si="0"/>
        <v>5</v>
      </c>
      <c r="H5" s="278">
        <f t="shared" si="0"/>
        <v>6</v>
      </c>
      <c r="I5" s="278">
        <f t="shared" si="0"/>
        <v>7</v>
      </c>
      <c r="J5" s="278">
        <f t="shared" si="0"/>
        <v>8</v>
      </c>
      <c r="K5" s="278">
        <f t="shared" si="0"/>
        <v>9</v>
      </c>
      <c r="L5" s="278">
        <f t="shared" si="0"/>
        <v>10</v>
      </c>
      <c r="M5" s="278">
        <f t="shared" si="0"/>
        <v>11</v>
      </c>
      <c r="N5" s="278">
        <f t="shared" si="0"/>
        <v>12</v>
      </c>
      <c r="O5" s="278">
        <f t="shared" si="0"/>
        <v>13</v>
      </c>
      <c r="P5" s="278">
        <f t="shared" si="0"/>
        <v>14</v>
      </c>
      <c r="Q5" s="278">
        <f t="shared" si="0"/>
        <v>15</v>
      </c>
      <c r="R5" s="278">
        <f t="shared" si="0"/>
        <v>16</v>
      </c>
      <c r="S5" s="278"/>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row>
    <row r="6" spans="1:71" ht="9" customHeight="1" x14ac:dyDescent="0.3">
      <c r="B6" s="201"/>
      <c r="C6" s="221"/>
      <c r="D6" s="16"/>
      <c r="E6" s="16"/>
      <c r="F6" s="16"/>
      <c r="G6" s="16"/>
      <c r="H6" s="16"/>
      <c r="I6" s="16"/>
      <c r="J6" s="16"/>
      <c r="K6" s="16"/>
      <c r="L6" s="16"/>
      <c r="M6" s="16"/>
      <c r="N6" s="16"/>
      <c r="O6" s="16"/>
      <c r="P6" s="16"/>
      <c r="Q6" s="16"/>
      <c r="R6" s="16"/>
      <c r="S6" s="17"/>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row>
    <row r="7" spans="1:71" ht="25.5" customHeight="1" x14ac:dyDescent="0.25">
      <c r="B7" s="201"/>
      <c r="C7" s="222"/>
      <c r="D7" s="223"/>
      <c r="E7" s="223"/>
      <c r="F7" s="271" t="s">
        <v>402</v>
      </c>
      <c r="G7" s="20"/>
      <c r="H7" s="20"/>
      <c r="I7" s="20"/>
      <c r="J7" s="20"/>
      <c r="K7" s="271" t="s">
        <v>895</v>
      </c>
      <c r="L7" s="271" t="s">
        <v>894</v>
      </c>
      <c r="M7" s="271" t="s">
        <v>899</v>
      </c>
      <c r="N7" s="20"/>
      <c r="O7" s="20"/>
      <c r="P7" s="20"/>
      <c r="Q7" s="20"/>
      <c r="R7" s="271" t="s">
        <v>897</v>
      </c>
      <c r="S7" s="19"/>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362">
        <v>1</v>
      </c>
      <c r="BL7" s="201"/>
      <c r="BM7" s="361" t="str">
        <f>'Material editor'!C11</f>
        <v>001-EPS-foam (grey) with radiation absorber; 16.6 kg/m³; 0.032 W/(mK); 40 years</v>
      </c>
    </row>
    <row r="8" spans="1:71" ht="16.5" customHeight="1" thickBot="1" x14ac:dyDescent="0.3">
      <c r="B8" s="201"/>
      <c r="C8" s="225"/>
      <c r="D8" s="20"/>
      <c r="E8" s="281"/>
      <c r="F8" s="120" t="s">
        <v>10</v>
      </c>
      <c r="G8" s="20"/>
      <c r="H8" s="20"/>
      <c r="I8" s="20"/>
      <c r="J8" s="20"/>
      <c r="K8" s="120" t="s">
        <v>355</v>
      </c>
      <c r="L8" s="120" t="str">
        <f>K8</f>
        <v>kWh/m²</v>
      </c>
      <c r="M8" s="120" t="s">
        <v>896</v>
      </c>
      <c r="N8" s="20"/>
      <c r="O8" s="20"/>
      <c r="P8" s="20"/>
      <c r="Q8" s="20"/>
      <c r="R8" s="120" t="s">
        <v>923</v>
      </c>
      <c r="S8" s="19"/>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362">
        <v>0</v>
      </c>
      <c r="BL8" s="201"/>
      <c r="BM8" s="361" t="str">
        <f>'Material editor'!C12</f>
        <v>002-Mineral wool (flat roof insulation); 145 kg/m³; 0.035 W/(mK); 40 years</v>
      </c>
      <c r="BO8" s="273"/>
      <c r="BP8" s="274" t="s">
        <v>559</v>
      </c>
      <c r="BQ8" s="274" t="s">
        <v>560</v>
      </c>
      <c r="BR8" s="274" t="s">
        <v>558</v>
      </c>
    </row>
    <row r="9" spans="1:71" x14ac:dyDescent="0.25">
      <c r="B9" s="201" t="str">
        <f>'Opaque assemblies'!E30</f>
        <v>Flor slab, Concrete, XPS</v>
      </c>
      <c r="C9" s="239" t="str">
        <f>TEXT(1,"00")</f>
        <v>01</v>
      </c>
      <c r="D9" s="270" t="str">
        <f>C9&amp;" "&amp;B9</f>
        <v>01 Flor slab, Concrete, XPS</v>
      </c>
      <c r="E9" s="280"/>
      <c r="F9" s="279">
        <f>Z48</f>
        <v>0.11782776106213312</v>
      </c>
      <c r="G9" s="20"/>
      <c r="H9" s="20"/>
      <c r="I9" s="20"/>
      <c r="J9" s="20"/>
      <c r="K9" s="142">
        <f t="shared" ref="K9:K25" si="1">BP9</f>
        <v>72.784070059216987</v>
      </c>
      <c r="L9" s="142">
        <f t="shared" ref="L9:L25" si="2">BQ9</f>
        <v>74.467144991268128</v>
      </c>
      <c r="M9" s="140">
        <f t="shared" ref="M9:M25" ca="1" si="3">BR9</f>
        <v>39.522629041671379</v>
      </c>
      <c r="N9" s="20"/>
      <c r="O9" s="20"/>
      <c r="P9" s="20"/>
      <c r="Q9" s="20"/>
      <c r="R9" s="140">
        <f>F32</f>
        <v>0.6</v>
      </c>
      <c r="S9" s="19"/>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362">
        <v>0.6</v>
      </c>
      <c r="BL9" s="201"/>
      <c r="BM9" s="361" t="str">
        <f>'Material editor'!C13</f>
        <v>003-Mineral wool (pitched roof insulation); 30 kg/m³; 0.035 W/(mK); 40 years</v>
      </c>
      <c r="BO9" s="275" t="str">
        <f t="shared" ref="BO9:BO25" si="4">D9</f>
        <v>01 Flor slab, Concrete, XPS</v>
      </c>
      <c r="BP9" s="276">
        <f>'Opaque assemblies'!K49</f>
        <v>72.784070059216987</v>
      </c>
      <c r="BQ9" s="276">
        <f>'Opaque assemblies'!K50</f>
        <v>74.467144991268128</v>
      </c>
      <c r="BR9" s="276">
        <f ca="1">'Opaque assemblies'!R51</f>
        <v>39.522629041671379</v>
      </c>
    </row>
    <row r="10" spans="1:71" x14ac:dyDescent="0.25">
      <c r="B10" s="201" t="str">
        <f>'Opaque assemblies'!E55</f>
        <v>Exterior wall, Lime-Sand stone, EPS</v>
      </c>
      <c r="C10" s="239" t="str">
        <f>TEXT(1+C9,"00")</f>
        <v>02</v>
      </c>
      <c r="D10" s="270" t="str">
        <f t="shared" ref="D10:D20" si="5">C10&amp;" "&amp;B10</f>
        <v>02 Exterior wall, Lime-Sand stone, EPS</v>
      </c>
      <c r="E10" s="280"/>
      <c r="F10" s="279">
        <f>Z73</f>
        <v>0.12660644487093178</v>
      </c>
      <c r="G10" s="20"/>
      <c r="H10" s="20"/>
      <c r="I10" s="20"/>
      <c r="J10" s="20"/>
      <c r="K10" s="142">
        <f t="shared" si="1"/>
        <v>67.674953885640249</v>
      </c>
      <c r="L10" s="142">
        <f t="shared" si="2"/>
        <v>133.35878859738148</v>
      </c>
      <c r="M10" s="140">
        <f t="shared" ca="1" si="3"/>
        <v>49.037348561980309</v>
      </c>
      <c r="N10" s="20"/>
      <c r="O10" s="20"/>
      <c r="P10" s="20"/>
      <c r="Q10" s="20"/>
      <c r="R10" s="140">
        <f>F57</f>
        <v>1</v>
      </c>
      <c r="S10" s="19"/>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361" t="str">
        <f>'Material editor'!C14</f>
        <v>004-Wood fiber insulation - dry process (German average); 150.76 kg/m³; 0.045 W/(mK); 40 years</v>
      </c>
      <c r="BO10" s="275" t="str">
        <f t="shared" si="4"/>
        <v>02 Exterior wall, Lime-Sand stone, EPS</v>
      </c>
      <c r="BP10" s="277">
        <f>'Opaque assemblies'!K74</f>
        <v>67.674953885640249</v>
      </c>
      <c r="BQ10" s="277">
        <f>'Opaque assemblies'!K75</f>
        <v>133.35878859738148</v>
      </c>
      <c r="BR10" s="277">
        <f ca="1">'Opaque assemblies'!R76</f>
        <v>49.037348561980309</v>
      </c>
    </row>
    <row r="11" spans="1:71" x14ac:dyDescent="0.25">
      <c r="B11" s="201" t="str">
        <f>'Opaque assemblies'!E80</f>
        <v>Roof, Cellulose</v>
      </c>
      <c r="C11" s="239" t="str">
        <f t="shared" ref="C11:C25" si="6">TEXT(1+C10,"00")</f>
        <v>03</v>
      </c>
      <c r="D11" s="270" t="str">
        <f t="shared" si="5"/>
        <v>03 Roof, Cellulose</v>
      </c>
      <c r="E11" s="280"/>
      <c r="F11" s="279">
        <f>Z98</f>
        <v>8.8934158318004233E-2</v>
      </c>
      <c r="G11" s="20"/>
      <c r="H11" s="20"/>
      <c r="I11" s="20"/>
      <c r="J11" s="20"/>
      <c r="K11" s="142">
        <f t="shared" si="1"/>
        <v>53.546767705816407</v>
      </c>
      <c r="L11" s="142">
        <f t="shared" si="2"/>
        <v>93.677313428297794</v>
      </c>
      <c r="M11" s="140">
        <f t="shared" ca="1" si="3"/>
        <v>1.4360844007200342</v>
      </c>
      <c r="N11" s="20"/>
      <c r="O11" s="20"/>
      <c r="P11" s="20"/>
      <c r="Q11" s="20"/>
      <c r="R11" s="140">
        <f>F82</f>
        <v>1</v>
      </c>
      <c r="S11" s="19"/>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361" t="str">
        <f>'Material editor'!C15</f>
        <v>005-Phenolic resin foam; 40 kg/m³; 0.022 W/(mK); 40 years</v>
      </c>
      <c r="BO11" s="275" t="str">
        <f t="shared" si="4"/>
        <v>03 Roof, Cellulose</v>
      </c>
      <c r="BP11" s="277">
        <f>'Opaque assemblies'!K99</f>
        <v>53.546767705816407</v>
      </c>
      <c r="BQ11" s="277">
        <f>'Opaque assemblies'!K100</f>
        <v>93.677313428297794</v>
      </c>
      <c r="BR11" s="277">
        <f ca="1">'Opaque assemblies'!R101</f>
        <v>1.4360844007200342</v>
      </c>
    </row>
    <row r="12" spans="1:71" x14ac:dyDescent="0.25">
      <c r="B12" s="201" t="str">
        <f>'Opaque assemblies'!E105</f>
        <v>Wall to neighbour</v>
      </c>
      <c r="C12" s="239" t="str">
        <f t="shared" si="6"/>
        <v>04</v>
      </c>
      <c r="D12" s="270" t="str">
        <f t="shared" si="5"/>
        <v>04 Wall to neighbour</v>
      </c>
      <c r="E12" s="280"/>
      <c r="F12" s="279">
        <f>Z123</f>
        <v>1.0771992818671454</v>
      </c>
      <c r="G12" s="20"/>
      <c r="H12" s="20"/>
      <c r="I12" s="20"/>
      <c r="J12" s="20"/>
      <c r="K12" s="142">
        <f t="shared" si="1"/>
        <v>35.729227504422099</v>
      </c>
      <c r="L12" s="142">
        <f t="shared" si="2"/>
        <v>0</v>
      </c>
      <c r="M12" s="140">
        <f t="shared" ca="1" si="3"/>
        <v>15.426250673524892</v>
      </c>
      <c r="N12" s="20"/>
      <c r="O12" s="20"/>
      <c r="P12" s="20"/>
      <c r="Q12" s="20"/>
      <c r="R12" s="140">
        <f>F107</f>
        <v>0</v>
      </c>
      <c r="S12" s="19"/>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361" t="str">
        <f>'Material editor'!C16</f>
        <v>006-FASBA e.V. Construction Straw; 100 kg/m³; 0.049 W/(mK); 40 years</v>
      </c>
      <c r="BO12" s="275" t="str">
        <f t="shared" si="4"/>
        <v>04 Wall to neighbour</v>
      </c>
      <c r="BP12" s="277">
        <f>'Opaque assemblies'!K124</f>
        <v>35.729227504422099</v>
      </c>
      <c r="BQ12" s="277">
        <f>'Opaque assemblies'!K125</f>
        <v>0</v>
      </c>
      <c r="BR12" s="277">
        <f ca="1">'Opaque assemblies'!R126</f>
        <v>15.426250673524892</v>
      </c>
    </row>
    <row r="13" spans="1:71" x14ac:dyDescent="0.25">
      <c r="B13" s="201" t="str">
        <f>'Opaque assemblies'!E130</f>
        <v>Interior ceiling</v>
      </c>
      <c r="C13" s="239" t="str">
        <f t="shared" si="6"/>
        <v>05</v>
      </c>
      <c r="D13" s="270" t="str">
        <f t="shared" si="5"/>
        <v>05 Interior ceiling</v>
      </c>
      <c r="E13" s="280"/>
      <c r="F13" s="279">
        <f>Z148</f>
        <v>0.27340338390934299</v>
      </c>
      <c r="G13" s="20"/>
      <c r="H13" s="20"/>
      <c r="I13" s="20"/>
      <c r="J13" s="20"/>
      <c r="K13" s="142">
        <f t="shared" si="1"/>
        <v>56.44323484194647</v>
      </c>
      <c r="L13" s="142">
        <f t="shared" si="2"/>
        <v>0</v>
      </c>
      <c r="M13" s="140">
        <f t="shared" ca="1" si="3"/>
        <v>22.593254496182151</v>
      </c>
      <c r="N13" s="20"/>
      <c r="O13" s="20"/>
      <c r="P13" s="20"/>
      <c r="Q13" s="20"/>
      <c r="R13" s="140">
        <f>F132</f>
        <v>0</v>
      </c>
      <c r="S13" s="19"/>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361" t="str">
        <f>'Material editor'!C17</f>
        <v>007-Cellulose fibre blow-in insulation material; 45 kg/m³; 0.04 W/(mK); 40 years</v>
      </c>
      <c r="BO13" s="275" t="str">
        <f t="shared" si="4"/>
        <v>05 Interior ceiling</v>
      </c>
      <c r="BP13" s="277">
        <f>'Opaque assemblies'!K149</f>
        <v>56.44323484194647</v>
      </c>
      <c r="BQ13" s="277">
        <f>'Opaque assemblies'!K150</f>
        <v>0</v>
      </c>
      <c r="BR13" s="277">
        <f ca="1">'Opaque assemblies'!R151</f>
        <v>22.593254496182151</v>
      </c>
    </row>
    <row r="14" spans="1:71" x14ac:dyDescent="0.25">
      <c r="B14" s="201" t="str">
        <f>'Opaque assemblies'!E155</f>
        <v>Interior wall</v>
      </c>
      <c r="C14" s="239" t="str">
        <f t="shared" si="6"/>
        <v>06</v>
      </c>
      <c r="D14" s="270" t="str">
        <f t="shared" si="5"/>
        <v>06 Interior wall</v>
      </c>
      <c r="E14" s="280"/>
      <c r="F14" s="279">
        <f>Z173</f>
        <v>2.9363784665579118</v>
      </c>
      <c r="G14" s="20"/>
      <c r="H14" s="20"/>
      <c r="I14" s="20"/>
      <c r="J14" s="20"/>
      <c r="K14" s="142">
        <f t="shared" si="1"/>
        <v>26.888569929538704</v>
      </c>
      <c r="L14" s="142">
        <f t="shared" si="2"/>
        <v>0</v>
      </c>
      <c r="M14" s="140">
        <f t="shared" ca="1" si="3"/>
        <v>10.475915614348221</v>
      </c>
      <c r="N14" s="20"/>
      <c r="O14" s="20"/>
      <c r="P14" s="20"/>
      <c r="Q14" s="20"/>
      <c r="R14" s="140">
        <f>F157</f>
        <v>0</v>
      </c>
      <c r="S14" s="19"/>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361" t="str">
        <f>'Material editor'!C18</f>
        <v>008-;  kg/m³;  W/(mK);  years</v>
      </c>
      <c r="BO14" s="275" t="str">
        <f t="shared" si="4"/>
        <v>06 Interior wall</v>
      </c>
      <c r="BP14" s="277">
        <f>'Opaque assemblies'!K174</f>
        <v>26.888569929538704</v>
      </c>
      <c r="BQ14" s="277">
        <f>'Opaque assemblies'!K175</f>
        <v>0</v>
      </c>
      <c r="BR14" s="277">
        <f ca="1">'Opaque assemblies'!R176</f>
        <v>10.475915614348221</v>
      </c>
    </row>
    <row r="15" spans="1:71" x14ac:dyDescent="0.25">
      <c r="B15" s="201" t="str">
        <f>'Opaque assemblies'!E180</f>
        <v>EIFS Wood faser</v>
      </c>
      <c r="C15" s="239" t="str">
        <f t="shared" si="6"/>
        <v>07</v>
      </c>
      <c r="D15" s="270" t="str">
        <f t="shared" si="5"/>
        <v>07 EIFS Wood faser</v>
      </c>
      <c r="E15" s="280"/>
      <c r="F15" s="279">
        <f>Z198</f>
        <v>0.14805936475482079</v>
      </c>
      <c r="G15" s="20"/>
      <c r="H15" s="20"/>
      <c r="I15" s="20"/>
      <c r="J15" s="20"/>
      <c r="K15" s="142">
        <f t="shared" si="1"/>
        <v>141.68255769591184</v>
      </c>
      <c r="L15" s="142">
        <f t="shared" si="2"/>
        <v>155.95586420841124</v>
      </c>
      <c r="M15" s="140">
        <f t="shared" ca="1" si="3"/>
        <v>25.334447101550616</v>
      </c>
      <c r="N15" s="20"/>
      <c r="O15" s="20"/>
      <c r="P15" s="20"/>
      <c r="Q15" s="20"/>
      <c r="R15" s="140">
        <f>F182</f>
        <v>1</v>
      </c>
      <c r="S15" s="19"/>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361" t="str">
        <f>'Material editor'!C19</f>
        <v>009-Sand-lime brick 2022; 2000 kg/m³; 1 W/(mK); 80 years</v>
      </c>
      <c r="BO15" s="275" t="str">
        <f t="shared" si="4"/>
        <v>07 EIFS Wood faser</v>
      </c>
      <c r="BP15" s="277">
        <f>'Opaque assemblies'!K199</f>
        <v>141.68255769591184</v>
      </c>
      <c r="BQ15" s="277">
        <f>'Opaque assemblies'!K200</f>
        <v>155.95586420841124</v>
      </c>
      <c r="BR15" s="277">
        <f ca="1">'Opaque assemblies'!R201</f>
        <v>25.334447101550616</v>
      </c>
    </row>
    <row r="16" spans="1:71" x14ac:dyDescent="0.25">
      <c r="B16" s="201" t="str">
        <f>'Opaque assemblies'!E205</f>
        <v>Leightweight timber wall Cellulose</v>
      </c>
      <c r="C16" s="239" t="str">
        <f t="shared" si="6"/>
        <v>08</v>
      </c>
      <c r="D16" s="270" t="str">
        <f t="shared" si="5"/>
        <v>08 Leightweight timber wall Cellulose</v>
      </c>
      <c r="E16" s="280"/>
      <c r="F16" s="279">
        <f>Z198</f>
        <v>0.14805936475482079</v>
      </c>
      <c r="G16" s="20"/>
      <c r="H16" s="20"/>
      <c r="I16" s="20"/>
      <c r="J16" s="20"/>
      <c r="K16" s="142">
        <f t="shared" si="1"/>
        <v>58.706432687464485</v>
      </c>
      <c r="L16" s="142">
        <f t="shared" si="2"/>
        <v>155.91957050210107</v>
      </c>
      <c r="M16" s="140">
        <f t="shared" ca="1" si="3"/>
        <v>15.171720537994288</v>
      </c>
      <c r="N16" s="20"/>
      <c r="O16" s="20"/>
      <c r="P16" s="20"/>
      <c r="Q16" s="20"/>
      <c r="R16" s="140">
        <f>F207</f>
        <v>1</v>
      </c>
      <c r="S16" s="19"/>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361" t="str">
        <f>'Material editor'!C20</f>
        <v>010-Aerated concrete P2 04 non-reinforced 2022; 300 kg/m³; 0.07 W/(mK); 80 years</v>
      </c>
      <c r="BO16" s="275" t="str">
        <f t="shared" si="4"/>
        <v>08 Leightweight timber wall Cellulose</v>
      </c>
      <c r="BP16" s="277">
        <f>'Opaque assemblies'!K224</f>
        <v>58.706432687464485</v>
      </c>
      <c r="BQ16" s="277">
        <f>'Opaque assemblies'!K225</f>
        <v>155.91957050210107</v>
      </c>
      <c r="BR16" s="277">
        <f ca="1">'Opaque assemblies'!R226</f>
        <v>15.171720537994288</v>
      </c>
    </row>
    <row r="17" spans="1:70" x14ac:dyDescent="0.25">
      <c r="B17" s="201" t="str">
        <f>'Opaque assemblies'!E230</f>
        <v>Monolithic Aerated concrete</v>
      </c>
      <c r="C17" s="239" t="str">
        <f t="shared" si="6"/>
        <v>09</v>
      </c>
      <c r="D17" s="270" t="str">
        <f t="shared" si="5"/>
        <v>09 Monolithic Aerated concrete</v>
      </c>
      <c r="E17" s="280"/>
      <c r="F17" s="279">
        <f>Z248</f>
        <v>0.14822831866735683</v>
      </c>
      <c r="G17" s="20"/>
      <c r="H17" s="20"/>
      <c r="I17" s="20"/>
      <c r="J17" s="20"/>
      <c r="K17" s="142">
        <f t="shared" si="1"/>
        <v>46.177909529053856</v>
      </c>
      <c r="L17" s="142">
        <f t="shared" si="2"/>
        <v>156.13382899628252</v>
      </c>
      <c r="M17" s="140">
        <f t="shared" ca="1" si="3"/>
        <v>50.818393432328392</v>
      </c>
      <c r="N17" s="20"/>
      <c r="O17" s="20"/>
      <c r="P17" s="20"/>
      <c r="Q17" s="20"/>
      <c r="R17" s="140">
        <f>F232</f>
        <v>1</v>
      </c>
      <c r="S17" s="19"/>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361" t="str">
        <f>'Material editor'!C21</f>
        <v>011-Brick (filled with insulating material); 575 kg/m³; 0.07 W/(mK); 80 years</v>
      </c>
      <c r="BO17" s="275" t="str">
        <f t="shared" si="4"/>
        <v>09 Monolithic Aerated concrete</v>
      </c>
      <c r="BP17" s="277">
        <f>'Opaque assemblies'!K249</f>
        <v>46.177909529053856</v>
      </c>
      <c r="BQ17" s="277">
        <f>'Opaque assemblies'!K250</f>
        <v>156.13382899628252</v>
      </c>
      <c r="BR17" s="277">
        <f ca="1">'Opaque assemblies'!R251</f>
        <v>50.818393432328392</v>
      </c>
    </row>
    <row r="18" spans="1:70" x14ac:dyDescent="0.25">
      <c r="B18" s="201" t="str">
        <f>'Opaque assemblies'!E255</f>
        <v>Monolithic Brickwork</v>
      </c>
      <c r="C18" s="239" t="str">
        <f t="shared" si="6"/>
        <v>10</v>
      </c>
      <c r="D18" s="270" t="str">
        <f t="shared" si="5"/>
        <v>10 Monolithic Brickwork</v>
      </c>
      <c r="E18" s="280"/>
      <c r="F18" s="279">
        <f>Z273</f>
        <v>0.14822831866735683</v>
      </c>
      <c r="G18" s="20"/>
      <c r="H18" s="20"/>
      <c r="I18" s="20"/>
      <c r="J18" s="20"/>
      <c r="K18" s="142">
        <f t="shared" si="1"/>
        <v>71.841674811474761</v>
      </c>
      <c r="L18" s="142">
        <f t="shared" si="2"/>
        <v>156.13382899628252</v>
      </c>
      <c r="M18" s="140">
        <f t="shared" ca="1" si="3"/>
        <v>50.609896834594849</v>
      </c>
      <c r="N18" s="20"/>
      <c r="O18" s="20"/>
      <c r="P18" s="20"/>
      <c r="Q18" s="20"/>
      <c r="R18" s="140">
        <f>F257</f>
        <v>1</v>
      </c>
      <c r="S18" s="19"/>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361" t="str">
        <f>'Material editor'!C22</f>
        <v>012-Brick (unfilled); 575 kg/m³; 0.5 W/(mK); 80 years</v>
      </c>
      <c r="BO18" s="275" t="str">
        <f t="shared" si="4"/>
        <v>10 Monolithic Brickwork</v>
      </c>
      <c r="BP18" s="277">
        <f>'Opaque assemblies'!K274</f>
        <v>71.841674811474761</v>
      </c>
      <c r="BQ18" s="277">
        <f>'Opaque assemblies'!K275</f>
        <v>156.13382899628252</v>
      </c>
      <c r="BR18" s="277">
        <f ca="1">'Opaque assemblies'!R276</f>
        <v>50.609896834594849</v>
      </c>
    </row>
    <row r="19" spans="1:70" x14ac:dyDescent="0.25">
      <c r="B19" s="201" t="str">
        <f>'Opaque assemblies'!E280</f>
        <v>Retrofit (EPS g)</v>
      </c>
      <c r="C19" s="239" t="str">
        <f t="shared" si="6"/>
        <v>11</v>
      </c>
      <c r="D19" s="270" t="str">
        <f t="shared" si="5"/>
        <v>11 Retrofit (EPS g)</v>
      </c>
      <c r="E19" s="280"/>
      <c r="F19" s="279">
        <f>Z298</f>
        <v>0.14804414300359242</v>
      </c>
      <c r="G19" s="20"/>
      <c r="H19" s="20"/>
      <c r="I19" s="20"/>
      <c r="J19" s="20"/>
      <c r="K19" s="142">
        <f t="shared" si="1"/>
        <v>31.072018831012578</v>
      </c>
      <c r="L19" s="142">
        <f t="shared" si="2"/>
        <v>155.9398306304507</v>
      </c>
      <c r="M19" s="140">
        <f t="shared" ca="1" si="3"/>
        <v>38.008373142433179</v>
      </c>
      <c r="N19" s="20"/>
      <c r="O19" s="20"/>
      <c r="P19" s="20"/>
      <c r="Q19" s="20"/>
      <c r="R19" s="140">
        <f>F282</f>
        <v>1</v>
      </c>
      <c r="S19" s="19"/>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361" t="str">
        <f>'Material editor'!C23</f>
        <v>013-UD_Steel reinforced concrete 100 kg steel; 2469.42675159236 kg/m³; 0.07 W/(mK); 80 years</v>
      </c>
      <c r="BO19" s="275" t="str">
        <f t="shared" si="4"/>
        <v>11 Retrofit (EPS g)</v>
      </c>
      <c r="BP19" s="277">
        <f>'Opaque assemblies'!K299</f>
        <v>31.072018831012578</v>
      </c>
      <c r="BQ19" s="277">
        <f>'Opaque assemblies'!K300</f>
        <v>155.9398306304507</v>
      </c>
      <c r="BR19" s="277">
        <f ca="1">'Opaque assemblies'!R301</f>
        <v>38.008373142433179</v>
      </c>
    </row>
    <row r="20" spans="1:70" x14ac:dyDescent="0.25">
      <c r="B20" s="201" t="str">
        <f>E305</f>
        <v>Retrofit (Holzweichfaser)</v>
      </c>
      <c r="C20" s="239" t="str">
        <f t="shared" si="6"/>
        <v>12</v>
      </c>
      <c r="D20" s="270" t="str">
        <f t="shared" si="5"/>
        <v>12 Retrofit (Holzweichfaser)</v>
      </c>
      <c r="E20" s="280"/>
      <c r="F20" s="279">
        <f>Z323</f>
        <v>0.1031535514294135</v>
      </c>
      <c r="G20" s="20"/>
      <c r="H20" s="20"/>
      <c r="I20" s="20"/>
      <c r="J20" s="20"/>
      <c r="K20" s="142">
        <f t="shared" ref="K20" si="7">BP20</f>
        <v>104.94735635752865</v>
      </c>
      <c r="L20" s="142">
        <f t="shared" ref="L20" si="8">BQ20</f>
        <v>108.65507417231555</v>
      </c>
      <c r="M20" s="140">
        <f t="shared" ref="M20" ca="1" si="9">BR20</f>
        <v>3.4277458363202307</v>
      </c>
      <c r="N20" s="20"/>
      <c r="O20" s="20"/>
      <c r="P20" s="20"/>
      <c r="Q20" s="20"/>
      <c r="R20" s="140">
        <f>F307</f>
        <v>1</v>
      </c>
      <c r="S20" s="19"/>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361" t="str">
        <f>'Material editor'!C24</f>
        <v>014-BauderTHERMOFOL U / M; 100 kg/m³; 2.1 W/(mK); 45 years</v>
      </c>
      <c r="BO20" s="275" t="str">
        <f t="shared" ref="BO20" si="10">D20</f>
        <v>12 Retrofit (Holzweichfaser)</v>
      </c>
      <c r="BP20" s="277">
        <f>'Opaque assemblies'!K324</f>
        <v>104.94735635752865</v>
      </c>
      <c r="BQ20" s="277">
        <f>'Opaque assemblies'!K325</f>
        <v>108.65507417231555</v>
      </c>
      <c r="BR20" s="277">
        <f ca="1">'Opaque assemblies'!R326</f>
        <v>3.4277458363202307</v>
      </c>
    </row>
    <row r="21" spans="1:70" x14ac:dyDescent="0.25">
      <c r="B21" s="201" t="str">
        <f>E330</f>
        <v>Leightweight timber wall Mineral wool</v>
      </c>
      <c r="C21" s="239" t="str">
        <f t="shared" si="6"/>
        <v>13</v>
      </c>
      <c r="D21" s="270" t="str">
        <f t="shared" ref="D21" si="11">C21&amp;" "&amp;B21</f>
        <v>13 Leightweight timber wall Mineral wool</v>
      </c>
      <c r="E21" s="280"/>
      <c r="F21" s="279">
        <f>Z348</f>
        <v>0.14788684873496802</v>
      </c>
      <c r="G21" s="20"/>
      <c r="H21" s="20"/>
      <c r="I21" s="20"/>
      <c r="J21" s="20"/>
      <c r="K21" s="142">
        <f t="shared" ref="K21" si="12">BP21</f>
        <v>73.020901886601237</v>
      </c>
      <c r="L21" s="142">
        <f t="shared" ref="L21" si="13">BQ21</f>
        <v>155.77414733416632</v>
      </c>
      <c r="M21" s="140">
        <f t="shared" ref="M21" ca="1" si="14">BR21</f>
        <v>27.979022413786304</v>
      </c>
      <c r="N21" s="20"/>
      <c r="O21" s="20"/>
      <c r="P21" s="20"/>
      <c r="Q21" s="20"/>
      <c r="R21" s="140">
        <f>F332</f>
        <v>1</v>
      </c>
      <c r="S21" s="19"/>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361" t="str">
        <f>'Material editor'!C25</f>
        <v>015-Cement screed; 2400 kg/m³; 1.6 W/(mK); 60 years</v>
      </c>
      <c r="BO21" s="275" t="str">
        <f t="shared" ref="BO21" si="15">D21</f>
        <v>13 Leightweight timber wall Mineral wool</v>
      </c>
      <c r="BP21" s="277">
        <f>K349</f>
        <v>73.020901886601237</v>
      </c>
      <c r="BQ21" s="277">
        <f>K350</f>
        <v>155.77414733416632</v>
      </c>
      <c r="BR21" s="277">
        <f ca="1">R351</f>
        <v>27.979022413786304</v>
      </c>
    </row>
    <row r="22" spans="1:70" x14ac:dyDescent="0.25">
      <c r="B22" s="201" t="str">
        <f>E355</f>
        <v>Leightweight timber wall Straw</v>
      </c>
      <c r="C22" s="239" t="str">
        <f t="shared" si="6"/>
        <v>14</v>
      </c>
      <c r="D22" s="270" t="str">
        <f t="shared" ref="D22" si="16">C22&amp;" "&amp;B22</f>
        <v>14 Leightweight timber wall Straw</v>
      </c>
      <c r="E22" s="280"/>
      <c r="F22" s="279">
        <f>Z373</f>
        <v>0.14732503655697082</v>
      </c>
      <c r="G22" s="20"/>
      <c r="H22" s="20"/>
      <c r="I22" s="20"/>
      <c r="J22" s="20"/>
      <c r="K22" s="142">
        <f t="shared" ref="K22" si="17">BP22</f>
        <v>59.1994597651072</v>
      </c>
      <c r="L22" s="142">
        <f t="shared" ref="L22" si="18">BQ22</f>
        <v>155.18237184000927</v>
      </c>
      <c r="M22" s="140">
        <f t="shared" ref="M22" ca="1" si="19">BR22</f>
        <v>5.9447446468670044</v>
      </c>
      <c r="N22" s="20"/>
      <c r="O22" s="20"/>
      <c r="P22" s="20"/>
      <c r="Q22" s="20"/>
      <c r="R22" s="140">
        <f>F357</f>
        <v>1</v>
      </c>
      <c r="S22" s="19"/>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361" t="str">
        <f>'Material editor'!C26</f>
        <v>016-Gypsum interior plaster; 900 kg/m³; 0.54 W/(mK); 40 years</v>
      </c>
      <c r="BO22" s="275" t="str">
        <f t="shared" ref="BO22" si="20">D22</f>
        <v>14 Leightweight timber wall Straw</v>
      </c>
      <c r="BP22" s="277">
        <f>K374</f>
        <v>59.1994597651072</v>
      </c>
      <c r="BQ22" s="277">
        <f>K375</f>
        <v>155.18237184000927</v>
      </c>
      <c r="BR22" s="277">
        <f ca="1">R376</f>
        <v>5.9447446468670044</v>
      </c>
    </row>
    <row r="23" spans="1:70" x14ac:dyDescent="0.25">
      <c r="B23" s="201" t="str">
        <f>E380</f>
        <v>EIFS Phenol</v>
      </c>
      <c r="C23" s="239" t="str">
        <f t="shared" si="6"/>
        <v>15</v>
      </c>
      <c r="D23" s="270" t="str">
        <f t="shared" ref="D23" si="21">C23&amp;" "&amp;B23</f>
        <v>15 EIFS Phenol</v>
      </c>
      <c r="E23" s="280"/>
      <c r="F23" s="279">
        <f>Z398</f>
        <v>0.14788243239926976</v>
      </c>
      <c r="G23" s="20"/>
      <c r="H23" s="20"/>
      <c r="I23" s="20"/>
      <c r="J23" s="20"/>
      <c r="K23" s="142">
        <f t="shared" ref="K23" si="22">BP23</f>
        <v>74.23891510710888</v>
      </c>
      <c r="L23" s="142">
        <f t="shared" ref="L23" si="23">BQ23</f>
        <v>155.76949546056414</v>
      </c>
      <c r="M23" s="140">
        <f t="shared" ref="M23" ca="1" si="24">BR23</f>
        <v>53.740783069887271</v>
      </c>
      <c r="N23" s="20"/>
      <c r="O23" s="20"/>
      <c r="P23" s="20"/>
      <c r="Q23" s="20"/>
      <c r="R23" s="140">
        <f>F382</f>
        <v>1</v>
      </c>
      <c r="S23" s="19"/>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361" t="str">
        <f>'Material editor'!C27</f>
        <v>017-Lime-cement plaster; 1800 kg/m³; 1 W/(mK); 40 years</v>
      </c>
      <c r="BO23" s="275" t="str">
        <f t="shared" ref="BO23" si="25">D23</f>
        <v>15 EIFS Phenol</v>
      </c>
      <c r="BP23" s="277">
        <f>K399</f>
        <v>74.23891510710888</v>
      </c>
      <c r="BQ23" s="277">
        <f>K400</f>
        <v>155.76949546056414</v>
      </c>
      <c r="BR23" s="277">
        <f ca="1">R401</f>
        <v>53.740783069887271</v>
      </c>
    </row>
    <row r="24" spans="1:70" x14ac:dyDescent="0.25">
      <c r="B24" s="201" t="str">
        <f>E405</f>
        <v>EIFS Mineral faser</v>
      </c>
      <c r="C24" s="239" t="str">
        <f t="shared" si="6"/>
        <v>16</v>
      </c>
      <c r="D24" s="270" t="str">
        <f t="shared" ref="D24" si="26">C24&amp;" "&amp;B24</f>
        <v>16 EIFS Mineral faser</v>
      </c>
      <c r="E24" s="280"/>
      <c r="F24" s="279">
        <f>Z423</f>
        <v>0.14771221908301196</v>
      </c>
      <c r="G24" s="20"/>
      <c r="H24" s="20"/>
      <c r="I24" s="20"/>
      <c r="J24" s="20"/>
      <c r="K24" s="142">
        <f t="shared" ref="K24" si="27">BP24</f>
        <v>117.29240718997278</v>
      </c>
      <c r="L24" s="142">
        <f t="shared" ref="L24" si="28">BQ24</f>
        <v>187.01184946146327</v>
      </c>
      <c r="M24" s="140">
        <f t="shared" ref="M24" ca="1" si="29">BR24</f>
        <v>70.463140823703938</v>
      </c>
      <c r="N24" s="20"/>
      <c r="O24" s="20"/>
      <c r="P24" s="20"/>
      <c r="Q24" s="20"/>
      <c r="R24" s="140">
        <f>F407</f>
        <v>1</v>
      </c>
      <c r="S24" s="19"/>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361" t="str">
        <f>'Material editor'!C28</f>
        <v>018-Clay plaster; 900 kg/m³; 0.91 W/(mK); 40 years</v>
      </c>
      <c r="BO24" s="275" t="str">
        <f t="shared" ref="BO24" si="30">D24</f>
        <v>16 EIFS Mineral faser</v>
      </c>
      <c r="BP24" s="277">
        <f>K424</f>
        <v>117.29240718997278</v>
      </c>
      <c r="BQ24" s="277">
        <f>'Opaque assemblies'!K301</f>
        <v>187.01184946146327</v>
      </c>
      <c r="BR24" s="277">
        <f ca="1">R426</f>
        <v>70.463140823703938</v>
      </c>
    </row>
    <row r="25" spans="1:70" x14ac:dyDescent="0.25">
      <c r="B25" s="201" t="str">
        <f>'Opaque assemblies'!E430</f>
        <v>Test</v>
      </c>
      <c r="C25" s="239" t="str">
        <f t="shared" si="6"/>
        <v>17</v>
      </c>
      <c r="D25" s="270" t="str">
        <f>C25&amp;" "&amp;B25</f>
        <v>17 Test</v>
      </c>
      <c r="E25" s="280"/>
      <c r="F25" s="279">
        <f>Z448</f>
        <v>5.8823529411764701</v>
      </c>
      <c r="G25" s="20"/>
      <c r="H25" s="20"/>
      <c r="I25" s="20"/>
      <c r="J25" s="20"/>
      <c r="K25" s="142">
        <f t="shared" si="1"/>
        <v>0</v>
      </c>
      <c r="L25" s="142">
        <f t="shared" si="2"/>
        <v>6196.0784313725489</v>
      </c>
      <c r="M25" s="140">
        <f t="shared" ca="1" si="3"/>
        <v>1170.3703703703704</v>
      </c>
      <c r="N25" s="20"/>
      <c r="O25" s="20"/>
      <c r="P25" s="20"/>
      <c r="Q25" s="20"/>
      <c r="R25" s="140">
        <f>F432</f>
        <v>1</v>
      </c>
      <c r="S25" s="19"/>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361" t="str">
        <f>'Material editor'!C29</f>
        <v>019-Glue for ETICS</v>
      </c>
      <c r="BO25" s="275" t="str">
        <f t="shared" si="4"/>
        <v>17 Test</v>
      </c>
      <c r="BP25" s="277">
        <f>'Opaque assemblies'!K449</f>
        <v>0</v>
      </c>
      <c r="BQ25" s="277">
        <f>'Opaque assemblies'!K450</f>
        <v>6196.0784313725489</v>
      </c>
      <c r="BR25" s="277">
        <f ca="1">'Opaque assemblies'!R451</f>
        <v>1170.3703703703704</v>
      </c>
    </row>
    <row r="26" spans="1:70" x14ac:dyDescent="0.25">
      <c r="B26" s="214"/>
      <c r="C26" s="21"/>
      <c r="D26" s="22"/>
      <c r="E26" s="22"/>
      <c r="F26" s="22"/>
      <c r="G26" s="22"/>
      <c r="H26" s="22"/>
      <c r="I26" s="22"/>
      <c r="J26" s="22"/>
      <c r="K26" s="22"/>
      <c r="L26" s="22"/>
      <c r="M26" s="22"/>
      <c r="N26" s="22"/>
      <c r="O26" s="22"/>
      <c r="P26" s="22"/>
      <c r="Q26" s="22"/>
      <c r="R26" s="22"/>
      <c r="S26" s="23"/>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361" t="str">
        <f>'Material editor'!C30</f>
        <v>020-Gypsum fibreboard (thickness 0.01 m); 1250 kg/m³; 0.35 W/(mK); 40 years</v>
      </c>
    </row>
    <row r="27" spans="1:70" x14ac:dyDescent="0.25">
      <c r="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361" t="str">
        <f>'Material editor'!C31</f>
        <v>021-;  kg/m³;  W/(mK);  years</v>
      </c>
    </row>
    <row r="28" spans="1:70" x14ac:dyDescent="0.25">
      <c r="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361" t="str">
        <f>'Material editor'!C32</f>
        <v>022-Solid construction timber (generic, 15% moisture / 13% H2O content); 529 kg/m³; 0.13 W/(mK); 80 years</v>
      </c>
    </row>
    <row r="29" spans="1:70" x14ac:dyDescent="0.25">
      <c r="A29" s="61"/>
      <c r="B29" s="272"/>
      <c r="C29" s="62"/>
      <c r="D29" s="114" t="s">
        <v>131</v>
      </c>
      <c r="E29" s="115" t="s">
        <v>132</v>
      </c>
      <c r="F29" s="115"/>
      <c r="G29" s="63"/>
      <c r="H29" s="63"/>
      <c r="I29" s="63"/>
      <c r="J29" s="63"/>
      <c r="K29" s="63"/>
      <c r="L29" s="63"/>
      <c r="M29" s="63"/>
      <c r="N29" s="63"/>
      <c r="O29" s="63"/>
      <c r="P29" s="63"/>
      <c r="Q29" s="63"/>
      <c r="R29" s="63"/>
      <c r="S29" s="63"/>
      <c r="T29" s="63"/>
      <c r="U29" s="63"/>
      <c r="V29" s="63"/>
      <c r="W29" s="63"/>
      <c r="X29" s="63"/>
      <c r="Y29" s="63"/>
      <c r="Z29" s="63"/>
      <c r="AA29" s="64"/>
      <c r="AB29" s="61"/>
      <c r="AC29" s="65" t="s">
        <v>402</v>
      </c>
      <c r="AD29" s="65"/>
      <c r="AE29" s="65"/>
      <c r="AF29" s="65"/>
      <c r="AG29" s="65"/>
      <c r="AH29" s="65"/>
      <c r="AI29" s="65"/>
      <c r="AJ29" s="65"/>
      <c r="AK29" s="65"/>
      <c r="AL29" s="65"/>
      <c r="AM29" s="65"/>
      <c r="AN29" s="65"/>
      <c r="AO29" s="65"/>
      <c r="AP29" s="65"/>
      <c r="AQ29" s="66"/>
      <c r="AR29" s="65" t="s">
        <v>405</v>
      </c>
      <c r="AS29" s="65"/>
      <c r="AT29" s="65"/>
      <c r="AU29" s="65"/>
      <c r="AV29" s="65"/>
      <c r="AW29" s="65"/>
      <c r="AX29" s="65"/>
      <c r="AY29" s="65"/>
      <c r="AZ29" s="65"/>
      <c r="BA29" s="65"/>
      <c r="BB29" s="65" t="s">
        <v>403</v>
      </c>
      <c r="BC29" s="65"/>
      <c r="BD29" s="65"/>
      <c r="BE29" s="65"/>
      <c r="BF29" s="65"/>
      <c r="BG29" s="65"/>
      <c r="BH29" s="65"/>
      <c r="BI29" s="65"/>
      <c r="BJ29" s="65"/>
      <c r="BK29" s="65"/>
      <c r="BL29" s="65"/>
      <c r="BM29" s="361" t="str">
        <f>'Material editor'!C33</f>
        <v>023-CLT cross-laminated timber; 480 kg/m³; 0.13 W/(mK); 80 years</v>
      </c>
    </row>
    <row r="30" spans="1:70" ht="15.75" x14ac:dyDescent="0.25">
      <c r="A30" s="61"/>
      <c r="B30" s="272"/>
      <c r="C30" s="69"/>
      <c r="D30" s="70">
        <v>1</v>
      </c>
      <c r="E30" s="71" t="s">
        <v>925</v>
      </c>
      <c r="F30" s="92"/>
      <c r="G30" s="72"/>
      <c r="H30" s="72"/>
      <c r="I30" s="72"/>
      <c r="J30" s="72"/>
      <c r="K30" s="72"/>
      <c r="L30" s="72"/>
      <c r="M30" s="72"/>
      <c r="N30" s="72"/>
      <c r="O30" s="72"/>
      <c r="P30" s="72"/>
      <c r="Q30" s="72"/>
      <c r="R30" s="72"/>
      <c r="S30" s="72"/>
      <c r="T30" s="72"/>
      <c r="U30" s="72"/>
      <c r="V30" s="72"/>
      <c r="W30" s="72"/>
      <c r="X30" s="72"/>
      <c r="Y30" s="72"/>
      <c r="Z30" s="73"/>
      <c r="AA30" s="75"/>
      <c r="AB30" s="61"/>
      <c r="AC30" s="65"/>
      <c r="AD30" s="65"/>
      <c r="AE30" s="76" t="s">
        <v>114</v>
      </c>
      <c r="AF30" s="65"/>
      <c r="AG30" s="65"/>
      <c r="AH30" s="65"/>
      <c r="AI30" s="65"/>
      <c r="AJ30" s="65"/>
      <c r="AK30" s="65"/>
      <c r="AL30" s="65"/>
      <c r="AM30" s="65"/>
      <c r="AN30" s="65"/>
      <c r="AO30" s="65"/>
      <c r="AP30" s="66"/>
      <c r="AQ30" s="65"/>
      <c r="AR30" s="65" t="s">
        <v>404</v>
      </c>
      <c r="AS30" s="65"/>
      <c r="AT30" s="65"/>
      <c r="AU30" s="65"/>
      <c r="AV30" s="65"/>
      <c r="AW30" s="65"/>
      <c r="AX30" s="65"/>
      <c r="AY30" s="65"/>
      <c r="AZ30" s="65"/>
      <c r="BA30" s="65"/>
      <c r="BB30" s="65" t="s">
        <v>407</v>
      </c>
      <c r="BC30" s="65"/>
      <c r="BD30" s="65"/>
      <c r="BE30" s="65"/>
      <c r="BF30" s="65"/>
      <c r="BG30" s="65"/>
      <c r="BH30" s="65"/>
      <c r="BI30" s="65"/>
      <c r="BJ30" s="65"/>
      <c r="BK30" s="65"/>
      <c r="BL30" s="65"/>
      <c r="BM30" s="361" t="str">
        <f>'Material editor'!C34</f>
        <v>024-Oriented Strand Board (German average); 600 kg/m³; 0.13 W/(mK); 80 years</v>
      </c>
    </row>
    <row r="31" spans="1:70" outlineLevel="1" x14ac:dyDescent="0.25">
      <c r="A31" s="61"/>
      <c r="B31" s="272"/>
      <c r="C31" s="77"/>
      <c r="D31" s="116" t="s">
        <v>133</v>
      </c>
      <c r="E31" s="78"/>
      <c r="F31" s="78"/>
      <c r="AA31" s="75"/>
      <c r="AB31" s="61"/>
      <c r="AC31" s="65"/>
      <c r="AD31" s="65"/>
      <c r="AE31" s="65"/>
      <c r="AF31" s="65"/>
      <c r="AG31" s="65"/>
      <c r="AH31" s="65"/>
      <c r="AI31" s="65"/>
      <c r="AJ31" s="65"/>
      <c r="AK31" s="65"/>
      <c r="AL31" s="65"/>
      <c r="AM31" s="65"/>
      <c r="AN31" s="65"/>
      <c r="AO31" s="65"/>
      <c r="AP31" s="66"/>
      <c r="AQ31" s="65"/>
      <c r="AR31" s="65"/>
      <c r="AS31" s="65"/>
      <c r="AT31" s="65"/>
      <c r="AU31" s="65"/>
      <c r="AV31" s="65"/>
      <c r="AW31" s="65"/>
      <c r="AX31" s="65"/>
      <c r="AY31" s="65"/>
      <c r="AZ31" s="65"/>
      <c r="BA31" s="65"/>
      <c r="BB31" s="65"/>
      <c r="BC31" s="65"/>
      <c r="BD31" s="65"/>
      <c r="BE31" s="65"/>
      <c r="BF31" s="65"/>
      <c r="BG31" s="65"/>
      <c r="BH31" s="65"/>
      <c r="BI31" s="65"/>
      <c r="BJ31" s="65"/>
      <c r="BK31" s="65"/>
      <c r="BL31" s="65"/>
      <c r="BM31" s="361" t="str">
        <f>'Material editor'!C35</f>
        <v>025-;  kg/m³;  W/(mK);  years</v>
      </c>
    </row>
    <row r="32" spans="1:70" outlineLevel="1" x14ac:dyDescent="0.25">
      <c r="A32" s="61"/>
      <c r="B32" s="272"/>
      <c r="C32" s="77"/>
      <c r="D32" s="79">
        <v>0.17</v>
      </c>
      <c r="E32" s="2" t="s">
        <v>151</v>
      </c>
      <c r="F32" s="138">
        <v>0.6</v>
      </c>
      <c r="G32" s="61"/>
      <c r="H32" s="74"/>
      <c r="I32" s="74"/>
      <c r="J32" s="74"/>
      <c r="K32" s="2" t="s">
        <v>921</v>
      </c>
      <c r="L32" s="74"/>
      <c r="M32" s="74"/>
      <c r="N32" s="74"/>
      <c r="AA32" s="75"/>
      <c r="AB32" s="61"/>
      <c r="AC32" s="65"/>
      <c r="AD32" s="65"/>
      <c r="AE32" s="65" t="s">
        <v>115</v>
      </c>
      <c r="AF32" s="65"/>
      <c r="AG32" s="65"/>
      <c r="AH32" s="65"/>
      <c r="AI32" s="65" t="s">
        <v>116</v>
      </c>
      <c r="AJ32" s="65"/>
      <c r="AK32" s="65"/>
      <c r="AL32" s="65"/>
      <c r="AM32" s="65"/>
      <c r="AN32" s="65"/>
      <c r="AO32" s="65"/>
      <c r="AP32" s="66"/>
      <c r="AQ32" s="65"/>
      <c r="AR32" s="65"/>
      <c r="AS32" s="65"/>
      <c r="AT32" s="65"/>
      <c r="AU32" s="65"/>
      <c r="AV32" s="65"/>
      <c r="AW32" s="65"/>
      <c r="AX32" s="65"/>
      <c r="AY32" s="65"/>
      <c r="AZ32" s="65"/>
      <c r="BA32" s="65"/>
      <c r="BB32" s="65"/>
      <c r="BC32" s="65"/>
      <c r="BD32" s="65"/>
      <c r="BE32" s="65"/>
      <c r="BF32" s="65"/>
      <c r="BG32" s="65"/>
      <c r="BH32" s="65"/>
      <c r="BI32" s="65"/>
      <c r="BJ32" s="65"/>
      <c r="BK32" s="65"/>
      <c r="BL32" s="65"/>
      <c r="BM32" s="361" t="str">
        <f>'Material editor'!C36</f>
        <v>026-PIR high-density foam; 31 kg/m³;  W/(mK); 40 years</v>
      </c>
    </row>
    <row r="33" spans="1:65" ht="15.75" outlineLevel="1" x14ac:dyDescent="0.25">
      <c r="A33" s="61"/>
      <c r="B33" s="272"/>
      <c r="C33" s="77"/>
      <c r="D33" s="79">
        <v>0</v>
      </c>
      <c r="E33" s="2" t="s">
        <v>152</v>
      </c>
      <c r="F33" s="2"/>
      <c r="G33" s="61"/>
      <c r="H33" s="74"/>
      <c r="I33" s="74"/>
      <c r="J33" s="74"/>
      <c r="K33" s="74"/>
      <c r="L33" s="74"/>
      <c r="M33" s="74"/>
      <c r="N33" s="74"/>
      <c r="AA33" s="75"/>
      <c r="AB33" s="61"/>
      <c r="AC33" s="65"/>
      <c r="AD33" s="65"/>
      <c r="AE33" s="80" t="s">
        <v>117</v>
      </c>
      <c r="AF33" s="81"/>
      <c r="AG33" s="81"/>
      <c r="AH33" s="65"/>
      <c r="AI33" s="82" t="s">
        <v>118</v>
      </c>
      <c r="AJ33" s="81"/>
      <c r="AK33" s="81"/>
      <c r="AL33" s="65"/>
      <c r="AM33" s="83" t="s">
        <v>119</v>
      </c>
      <c r="AN33" s="84"/>
      <c r="AO33" s="8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361" t="str">
        <f>'Material editor'!C37</f>
        <v>027-Extruded polystyrene (XPS); 32 kg/m³; 0.035 W/(mK); 40 years</v>
      </c>
    </row>
    <row r="34" spans="1:65" ht="15.75" outlineLevel="1" x14ac:dyDescent="0.25">
      <c r="A34" s="61"/>
      <c r="B34" s="272"/>
      <c r="C34" s="77"/>
      <c r="D34" s="74"/>
      <c r="E34" s="61"/>
      <c r="F34" s="61"/>
      <c r="G34" s="61"/>
      <c r="H34" s="74"/>
      <c r="I34" s="74"/>
      <c r="J34" s="74"/>
      <c r="K34" s="74"/>
      <c r="L34" s="74"/>
      <c r="M34" s="74"/>
      <c r="N34" s="74"/>
      <c r="O34" s="1"/>
      <c r="P34" s="1"/>
      <c r="Q34" s="1"/>
      <c r="AA34" s="75"/>
      <c r="AB34" s="61"/>
      <c r="AC34" s="65"/>
      <c r="AD34" s="65"/>
      <c r="AE34" s="117"/>
      <c r="AF34" s="117"/>
      <c r="AG34" s="117"/>
      <c r="AH34" s="65"/>
      <c r="AI34" s="118"/>
      <c r="AJ34" s="117"/>
      <c r="AK34" s="117"/>
      <c r="AL34" s="65"/>
      <c r="AM34" s="119"/>
      <c r="AN34" s="119"/>
      <c r="AO34" s="119"/>
      <c r="AP34" s="65"/>
      <c r="AQ34" s="65"/>
      <c r="AR34" s="65"/>
      <c r="AS34" s="65"/>
      <c r="AT34" s="148" t="s">
        <v>351</v>
      </c>
      <c r="AU34" s="65"/>
      <c r="AV34" s="65"/>
      <c r="AW34" s="65"/>
      <c r="AX34" s="148"/>
      <c r="AY34" s="65"/>
      <c r="AZ34" s="65"/>
      <c r="BA34" s="65"/>
      <c r="BB34" s="65"/>
      <c r="BC34" s="148" t="s">
        <v>406</v>
      </c>
      <c r="BD34" s="65"/>
      <c r="BE34" s="65"/>
      <c r="BF34" s="65"/>
      <c r="BG34" s="148"/>
      <c r="BH34" s="65"/>
      <c r="BI34" s="65"/>
      <c r="BJ34" s="65"/>
      <c r="BK34" s="65"/>
      <c r="BL34" s="65"/>
      <c r="BM34" s="361" t="str">
        <f>'Material editor'!C38</f>
        <v>028-GLAPOR foamglass; 120 kg/m³; 0.04 W/(mK); 40 years</v>
      </c>
    </row>
    <row r="35" spans="1:65" ht="22.5" outlineLevel="1" x14ac:dyDescent="0.25">
      <c r="A35" s="61"/>
      <c r="B35" s="272"/>
      <c r="C35" s="77"/>
      <c r="D35" s="121" t="s">
        <v>134</v>
      </c>
      <c r="E35" s="61"/>
      <c r="F35" s="122" t="s">
        <v>153</v>
      </c>
      <c r="G35" s="122" t="str">
        <f>'Material editor'!E9</f>
        <v>Thermal conductivity</v>
      </c>
      <c r="H35" s="122" t="str">
        <f>'Material editor'!F9</f>
        <v>Manfacturing energy</v>
      </c>
      <c r="I35" s="122" t="s">
        <v>149</v>
      </c>
      <c r="J35" s="122" t="str">
        <f>'Material editor'!H9</f>
        <v>Service life</v>
      </c>
      <c r="K35" s="121" t="s">
        <v>136</v>
      </c>
      <c r="L35" s="121"/>
      <c r="M35" s="122" t="str">
        <f>$F$35</f>
        <v>Count?</v>
      </c>
      <c r="N35" s="122" t="str">
        <f>$G$35</f>
        <v>Thermal conductivity</v>
      </c>
      <c r="O35" s="122" t="str">
        <f>$H$35</f>
        <v>Manfacturing energy</v>
      </c>
      <c r="P35" s="122" t="str">
        <f>$I$35</f>
        <v>GWP</v>
      </c>
      <c r="Q35" s="122" t="str">
        <f>$J$35</f>
        <v>Service life</v>
      </c>
      <c r="R35" s="121" t="s">
        <v>137</v>
      </c>
      <c r="S35" s="74"/>
      <c r="T35" s="122" t="str">
        <f>$F$35</f>
        <v>Count?</v>
      </c>
      <c r="U35" s="122" t="str">
        <f>$G$35</f>
        <v>Thermal conductivity</v>
      </c>
      <c r="V35" s="122" t="str">
        <f>$H$35</f>
        <v>Manfacturing energy</v>
      </c>
      <c r="W35" s="122" t="str">
        <f>$I$35</f>
        <v>GWP</v>
      </c>
      <c r="X35" s="122" t="str">
        <f>$J$35</f>
        <v>Service life</v>
      </c>
      <c r="Y35" s="74"/>
      <c r="Z35" s="122" t="s">
        <v>345</v>
      </c>
      <c r="AA35" s="75"/>
      <c r="AB35" s="61"/>
      <c r="AC35" s="65"/>
      <c r="AD35" s="65"/>
      <c r="AE35" s="86"/>
      <c r="AF35" s="87"/>
      <c r="AG35" s="65"/>
      <c r="AH35" s="65"/>
      <c r="AI35" s="65"/>
      <c r="AJ35" s="65"/>
      <c r="AK35" s="65"/>
      <c r="AL35" s="65"/>
      <c r="AM35" s="65"/>
      <c r="AN35" s="65"/>
      <c r="AO35" s="65"/>
      <c r="AP35" s="65"/>
      <c r="AQ35" s="65"/>
      <c r="AR35" s="65"/>
      <c r="AS35" s="65"/>
      <c r="AT35" s="148"/>
      <c r="AU35" s="65"/>
      <c r="AV35" s="65"/>
      <c r="AW35" s="151" t="s">
        <v>353</v>
      </c>
      <c r="AX35" s="149">
        <f>D45</f>
        <v>1</v>
      </c>
      <c r="AY35" s="150">
        <f>K45</f>
        <v>0</v>
      </c>
      <c r="AZ35" s="150">
        <f>R45</f>
        <v>0</v>
      </c>
      <c r="BA35" s="156">
        <f>SUM(AX35:AZ35)</f>
        <v>1</v>
      </c>
      <c r="BB35" s="65"/>
      <c r="BC35" s="148"/>
      <c r="BD35" s="65"/>
      <c r="BE35" s="65"/>
      <c r="BF35" s="151" t="s">
        <v>353</v>
      </c>
      <c r="BG35" s="149">
        <f>AX35</f>
        <v>1</v>
      </c>
      <c r="BH35" s="149">
        <f t="shared" ref="BH35:BI35" si="31">AY35</f>
        <v>0</v>
      </c>
      <c r="BI35" s="149">
        <f t="shared" si="31"/>
        <v>0</v>
      </c>
      <c r="BJ35" s="156">
        <f>SUM(BG35:BI35)</f>
        <v>1</v>
      </c>
      <c r="BK35" s="65"/>
      <c r="BL35" s="65"/>
      <c r="BM35" s="361" t="str">
        <f>'Material editor'!C39</f>
        <v>029-BauderTHERMOFOL U / M;  kg/m³;  W/(mK);  years</v>
      </c>
    </row>
    <row r="36" spans="1:65" outlineLevel="1" x14ac:dyDescent="0.25">
      <c r="A36" s="61"/>
      <c r="B36" s="272"/>
      <c r="C36" s="77"/>
      <c r="E36" s="61"/>
      <c r="F36" s="120" t="s">
        <v>985</v>
      </c>
      <c r="G36" s="4" t="s">
        <v>135</v>
      </c>
      <c r="H36" s="120" t="s">
        <v>144</v>
      </c>
      <c r="I36" s="120" t="s">
        <v>148</v>
      </c>
      <c r="J36" s="120" t="s">
        <v>146</v>
      </c>
      <c r="K36" s="88"/>
      <c r="L36" s="88"/>
      <c r="M36" s="88"/>
      <c r="N36" s="4" t="s">
        <v>135</v>
      </c>
      <c r="O36" s="120" t="s">
        <v>144</v>
      </c>
      <c r="P36" s="120" t="s">
        <v>148</v>
      </c>
      <c r="Q36" s="120" t="s">
        <v>146</v>
      </c>
      <c r="R36" s="88"/>
      <c r="S36" s="88"/>
      <c r="T36" s="88"/>
      <c r="U36" s="4" t="s">
        <v>135</v>
      </c>
      <c r="V36" s="120" t="s">
        <v>144</v>
      </c>
      <c r="W36" s="120" t="s">
        <v>148</v>
      </c>
      <c r="X36" s="120" t="s">
        <v>146</v>
      </c>
      <c r="Y36" s="74"/>
      <c r="Z36" s="120" t="s">
        <v>344</v>
      </c>
      <c r="AA36" s="75"/>
      <c r="AB36" s="61"/>
      <c r="AC36" s="65"/>
      <c r="AD36" s="65"/>
      <c r="AE36" s="89" t="s">
        <v>120</v>
      </c>
      <c r="AF36" s="89" t="s">
        <v>121</v>
      </c>
      <c r="AG36" s="89" t="s">
        <v>122</v>
      </c>
      <c r="AH36" s="65"/>
      <c r="AI36" s="89" t="s">
        <v>120</v>
      </c>
      <c r="AJ36" s="89" t="s">
        <v>121</v>
      </c>
      <c r="AK36" s="89" t="s">
        <v>122</v>
      </c>
      <c r="AL36" s="90"/>
      <c r="AM36" s="89" t="s">
        <v>120</v>
      </c>
      <c r="AN36" s="89" t="s">
        <v>121</v>
      </c>
      <c r="AO36" s="89" t="s">
        <v>122</v>
      </c>
      <c r="AP36" s="90" t="s">
        <v>123</v>
      </c>
      <c r="AQ36" s="65"/>
      <c r="AR36" s="65"/>
      <c r="AS36" s="65"/>
      <c r="AT36" s="89" t="s">
        <v>120</v>
      </c>
      <c r="AU36" s="89" t="s">
        <v>121</v>
      </c>
      <c r="AV36" s="89" t="s">
        <v>122</v>
      </c>
      <c r="AW36" s="65"/>
      <c r="AX36" s="89" t="s">
        <v>120</v>
      </c>
      <c r="AY36" s="89" t="s">
        <v>121</v>
      </c>
      <c r="AZ36" s="89" t="s">
        <v>122</v>
      </c>
      <c r="BA36" s="89" t="s">
        <v>354</v>
      </c>
      <c r="BB36" s="65"/>
      <c r="BC36" s="89" t="s">
        <v>120</v>
      </c>
      <c r="BD36" s="89" t="s">
        <v>121</v>
      </c>
      <c r="BE36" s="89" t="s">
        <v>122</v>
      </c>
      <c r="BF36" s="65"/>
      <c r="BG36" s="89" t="s">
        <v>120</v>
      </c>
      <c r="BH36" s="89" t="s">
        <v>121</v>
      </c>
      <c r="BI36" s="89" t="s">
        <v>122</v>
      </c>
      <c r="BJ36" s="89" t="s">
        <v>354</v>
      </c>
      <c r="BK36" s="65"/>
      <c r="BL36" s="65"/>
      <c r="BM36" s="361" t="str">
        <f>'Material editor'!C40</f>
        <v>030-;  kg/m³;  W/(mK);  years</v>
      </c>
    </row>
    <row r="37" spans="1:65" outlineLevel="1" x14ac:dyDescent="0.25">
      <c r="A37" s="61"/>
      <c r="B37" s="272"/>
      <c r="C37" s="91"/>
      <c r="D37" s="418" t="s">
        <v>1019</v>
      </c>
      <c r="E37" s="419"/>
      <c r="F37" s="94">
        <v>1</v>
      </c>
      <c r="G37" s="136">
        <f>IF(ISNUMBER(VLOOKUP(LEFT(D37,3),'Material editor'!$D$11:$H$110,'Material editor'!$E$8,0)),VLOOKUP(LEFT(D37,3),'Material editor'!$D$11:$H$110,'Material editor'!$E$8,0),"")</f>
        <v>1.6</v>
      </c>
      <c r="H37" s="137">
        <f>IF(ISNUMBER(VLOOKUP(LEFT(D37,3),'Material editor'!$D$11:$H$110,'Material editor'!$F$8,0)),VLOOKUP(LEFT(D37,3),'Material editor'!$D$11:$H$110,'Material editor'!$F$8,0),"")</f>
        <v>976.65624448978213</v>
      </c>
      <c r="I37" s="137">
        <f>IF(ISNUMBER(VLOOKUP(LEFT(D37,3),'Material editor'!$D$11:$H$110,'Material editor'!$G$8,0)),VLOOKUP(LEFT(D37,3),'Material editor'!$D$11:$H$110,'Material editor'!$G$8,0),"")</f>
        <v>437.56214338358876</v>
      </c>
      <c r="J37" s="137">
        <f>IF(ISNUMBER(VLOOKUP(LEFT(D37,3),'Material editor'!$D$11:$H$110,'Material editor'!$H$8,0)),VLOOKUP(LEFT(D37,3),'Material editor'!$D$11:$H$110,'Material editor'!$H$8,0),"")</f>
        <v>60</v>
      </c>
      <c r="K37" s="418"/>
      <c r="L37" s="407"/>
      <c r="M37" s="94"/>
      <c r="N37" s="136" t="str">
        <f>IF(ISNUMBER(VLOOKUP(LEFT(K37,3),'Material editor'!$D$11:$H$110,'Material editor'!$E$8,0)),VLOOKUP(LEFT(K37,3),'Material editor'!$D$11:$H$110,'Material editor'!$E$8,0),"")</f>
        <v/>
      </c>
      <c r="O37" s="137" t="str">
        <f>IF(ISNUMBER(VLOOKUP(LEFT(K37,3),'Material editor'!$D$11:$H$110,'Material editor'!$F$8,0)),VLOOKUP(LEFT(K37,3),'Material editor'!$D$11:$H$110,'Material editor'!$F$8,0),"")</f>
        <v/>
      </c>
      <c r="P37" s="137" t="str">
        <f>IF(ISNUMBER(VLOOKUP(LEFT(K37,3),'Material editor'!$D$11:$H$110,'Material editor'!$G$8,0)),VLOOKUP(LEFT(K37,3),'Material editor'!$D$11:$H$110,'Material editor'!$G$8,0),"")</f>
        <v/>
      </c>
      <c r="Q37" s="137" t="str">
        <f>IF(ISNUMBER(VLOOKUP(LEFT(K37,3),'Material editor'!$D$11:$H$110,'Material editor'!$H$8,0)),VLOOKUP(LEFT(K37,3),'Material editor'!$D$11:$H$110,'Material editor'!$H$8,0),"")</f>
        <v/>
      </c>
      <c r="R37" s="418"/>
      <c r="S37" s="407"/>
      <c r="T37" s="94"/>
      <c r="U37" s="136" t="str">
        <f>IF(ISNUMBER(VLOOKUP(LEFT(R37,3),'Material editor'!$D$11:$H$110,'Material editor'!$E$8,0)),VLOOKUP(LEFT(R37,3),'Material editor'!$D$11:$H$110,'Material editor'!$E$8,0),"")</f>
        <v/>
      </c>
      <c r="V37" s="137" t="str">
        <f>IF(ISNUMBER(VLOOKUP(LEFT(R37,3),'Material editor'!$D$11:$H$110,'Material editor'!$F$8,0)),VLOOKUP(LEFT(R37,3),'Material editor'!$D$11:$H$110,'Material editor'!$F$8,0),"")</f>
        <v/>
      </c>
      <c r="W37" s="137" t="str">
        <f>IF(ISNUMBER(VLOOKUP(LEFT(R37,3),'Material editor'!$D$11:$H$110,'Material editor'!$G$8,0)),VLOOKUP(LEFT(R37,3),'Material editor'!$D$11:$H$110,'Material editor'!$G$8,0),"")</f>
        <v/>
      </c>
      <c r="X37" s="137" t="str">
        <f>IF(ISNUMBER(VLOOKUP(LEFT(R37,3),'Material editor'!$D$11:$H$110,'Material editor'!$H$8,0)),VLOOKUP(LEFT(R37,3),'Material editor'!$D$11:$H$110,'Material editor'!$H$8,0),"")</f>
        <v/>
      </c>
      <c r="Y37" s="74"/>
      <c r="Z37" s="94">
        <v>50</v>
      </c>
      <c r="AA37" s="8"/>
      <c r="AB37" s="61"/>
      <c r="AC37" s="65"/>
      <c r="AD37" s="65"/>
      <c r="AE37" s="95">
        <f t="shared" ref="AE37:AE44" si="32">IF(ISNUMBER(G37),IF(G37&gt;0,$Z37/1000/G37,0),0)</f>
        <v>3.125E-2</v>
      </c>
      <c r="AF37" s="95">
        <f t="shared" ref="AF37:AF44" si="33">IF(ISNUMBER(N37),IF(N37&gt;0,$Z37/1000/N37,0),$AE37)</f>
        <v>3.125E-2</v>
      </c>
      <c r="AG37" s="95">
        <f t="shared" ref="AG37:AG44" si="34">IF(ISNUMBER(U37),IF(U37&gt;0,$Z37/1000/U37,0),$AE37)</f>
        <v>3.125E-2</v>
      </c>
      <c r="AH37" s="65"/>
      <c r="AI37" s="95">
        <f t="shared" ref="AI37:AI41" si="35">IF(ISNUMBER(G37),G37,0)</f>
        <v>1.6</v>
      </c>
      <c r="AJ37" s="95">
        <f t="shared" ref="AJ37:AJ44" si="36">IF(ISNUMBER(N37),IF(N37&gt;0,N37,0),$AI37)</f>
        <v>1.6</v>
      </c>
      <c r="AK37" s="95">
        <f t="shared" ref="AK37:AK44" si="37">IF(ISNUMBER(U37),IF(U37&gt;0,U37,0),$AI37)</f>
        <v>1.6</v>
      </c>
      <c r="AL37" s="65"/>
      <c r="AM37" s="96">
        <f>AE46</f>
        <v>1</v>
      </c>
      <c r="AN37" s="96">
        <f>AF46</f>
        <v>0</v>
      </c>
      <c r="AO37" s="96">
        <f>AG46</f>
        <v>0</v>
      </c>
      <c r="AP37" s="65">
        <f t="shared" ref="AP37:AP44" si="38">IF(AI37&lt;&gt;0,Z37/1000/SUMPRODUCT(AM37:AO37,AI37:AK37),0)</f>
        <v>3.125E-2</v>
      </c>
      <c r="AQ37" s="65"/>
      <c r="AR37" s="65"/>
      <c r="AS37" s="65"/>
      <c r="AT37" s="95">
        <f>IF(ISNUMBER(H37),H37*F37*Z37/1000*Balance!$H$13/J37,0)</f>
        <v>16.2776040748297</v>
      </c>
      <c r="AU37" s="95">
        <f>IF(ISTEXT(K37),IF(ISNUMBER(O37),O37*M37*Z37/1000*Balance!$H$13/Q37,0),AT37)</f>
        <v>16.2776040748297</v>
      </c>
      <c r="AV37" s="95">
        <f>IF(ISTEXT(R37),IF(ISNUMBER(V37),V37*T37*Z37/1000*Balance!$H$13/X37,0),AT37)</f>
        <v>16.2776040748297</v>
      </c>
      <c r="AW37" s="99"/>
      <c r="AX37" s="95">
        <f>AT37*AX35</f>
        <v>16.2776040748297</v>
      </c>
      <c r="AY37" s="95">
        <f>AU37*AY35</f>
        <v>0</v>
      </c>
      <c r="AZ37" s="95">
        <f>AV37*AZ35</f>
        <v>0</v>
      </c>
      <c r="BA37" s="95">
        <f>SUM(AX37:AZ37)</f>
        <v>16.2776040748297</v>
      </c>
      <c r="BB37" s="65"/>
      <c r="BC37" s="95">
        <f>IF(ISNUMBER(I37),I37*F37*Z37/1000*Balance!$H$13/J37,0)</f>
        <v>7.2927023897264807</v>
      </c>
      <c r="BD37" s="95">
        <f>IF(ISTEXT(K37),IF(ISNUMBER(P37),P37*M37*Z37/1000*Balance!$H$13/Q37,0),BC37)</f>
        <v>7.2927023897264807</v>
      </c>
      <c r="BE37" s="95">
        <f>IF(ISTEXT(R37),IF(ISNUMBER(W37),W37*T37*Z37/1000*Balance!$H$13/X37,0),BC37)</f>
        <v>7.2927023897264807</v>
      </c>
      <c r="BF37" s="99"/>
      <c r="BG37" s="95">
        <f>BC37*BG35</f>
        <v>7.2927023897264807</v>
      </c>
      <c r="BH37" s="95">
        <f>BD37*BH35</f>
        <v>0</v>
      </c>
      <c r="BI37" s="95">
        <f>BE37*BI35</f>
        <v>0</v>
      </c>
      <c r="BJ37" s="95">
        <f>SUM(BG37:BI37)</f>
        <v>7.2927023897264807</v>
      </c>
      <c r="BK37" s="65"/>
      <c r="BL37" s="65"/>
      <c r="BM37" s="361" t="str">
        <f>'Material editor'!C41</f>
        <v>031-;  kg/m³;  W/(mK);  years</v>
      </c>
    </row>
    <row r="38" spans="1:65" outlineLevel="1" x14ac:dyDescent="0.25">
      <c r="A38" s="61"/>
      <c r="B38" s="272"/>
      <c r="C38" s="91"/>
      <c r="D38" s="418" t="s">
        <v>1020</v>
      </c>
      <c r="E38" s="419"/>
      <c r="F38" s="94">
        <v>1</v>
      </c>
      <c r="G38" s="136">
        <f>IF(ISNUMBER(VLOOKUP(LEFT(D38,3),'Material editor'!$D$11:$H$110,'Material editor'!$E$8,0)),VLOOKUP(LEFT(D38,3),'Material editor'!$D$11:$H$110,'Material editor'!$E$8,0),"")</f>
        <v>3.5000000000000003E-2</v>
      </c>
      <c r="H38" s="137">
        <f>IF(ISNUMBER(VLOOKUP(LEFT(D38,3),'Material editor'!$D$11:$H$110,'Material editor'!$F$8,0)),VLOOKUP(LEFT(D38,3),'Material editor'!$D$11:$H$110,'Material editor'!$F$8,0),"")</f>
        <v>217.89999999999998</v>
      </c>
      <c r="I38" s="137">
        <f>IF(ISNUMBER(VLOOKUP(LEFT(D38,3),'Material editor'!$D$11:$H$110,'Material editor'!$G$8,0)),VLOOKUP(LEFT(D38,3),'Material editor'!$D$11:$H$110,'Material editor'!$G$8,0),"")</f>
        <v>49.7</v>
      </c>
      <c r="J38" s="137">
        <f>IF(ISNUMBER(VLOOKUP(LEFT(D38,3),'Material editor'!$D$11:$H$110,'Material editor'!$H$8,0)),VLOOKUP(LEFT(D38,3),'Material editor'!$D$11:$H$110,'Material editor'!$H$8,0),"")</f>
        <v>60</v>
      </c>
      <c r="K38" s="418"/>
      <c r="L38" s="407"/>
      <c r="M38" s="94"/>
      <c r="N38" s="136" t="str">
        <f>IF(ISNUMBER(VLOOKUP(LEFT(K38,3),'Material editor'!$D$11:$H$110,'Material editor'!$E$8,0)),VLOOKUP(LEFT(K38,3),'Material editor'!$D$11:$H$110,'Material editor'!$E$8,0),"")</f>
        <v/>
      </c>
      <c r="O38" s="137" t="str">
        <f>IF(ISNUMBER(VLOOKUP(LEFT(K38,3),'Material editor'!$D$11:$H$110,'Material editor'!$F$8,0)),VLOOKUP(LEFT(K38,3),'Material editor'!$D$11:$H$110,'Material editor'!$F$8,0),"")</f>
        <v/>
      </c>
      <c r="P38" s="137" t="str">
        <f>IF(ISNUMBER(VLOOKUP(LEFT(K38,3),'Material editor'!$D$11:$H$110,'Material editor'!$G$8,0)),VLOOKUP(LEFT(K38,3),'Material editor'!$D$11:$H$110,'Material editor'!$G$8,0),"")</f>
        <v/>
      </c>
      <c r="Q38" s="137" t="str">
        <f>IF(ISNUMBER(VLOOKUP(LEFT(K38,3),'Material editor'!$D$11:$H$110,'Material editor'!$H$8,0)),VLOOKUP(LEFT(K38,3),'Material editor'!$D$11:$H$110,'Material editor'!$H$8,0),"")</f>
        <v/>
      </c>
      <c r="R38" s="418"/>
      <c r="S38" s="407"/>
      <c r="T38" s="94"/>
      <c r="U38" s="136" t="str">
        <f>IF(ISNUMBER(VLOOKUP(LEFT(R38,3),'Material editor'!$D$11:$H$110,'Material editor'!$E$8,0)),VLOOKUP(LEFT(R38,3),'Material editor'!$D$11:$H$110,'Material editor'!$E$8,0),"")</f>
        <v/>
      </c>
      <c r="V38" s="137" t="str">
        <f>IF(ISNUMBER(VLOOKUP(LEFT(R38,3),'Material editor'!$D$11:$H$110,'Material editor'!$F$8,0)),VLOOKUP(LEFT(R38,3),'Material editor'!$D$11:$H$110,'Material editor'!$F$8,0),"")</f>
        <v/>
      </c>
      <c r="W38" s="137" t="str">
        <f>IF(ISNUMBER(VLOOKUP(LEFT(R38,3),'Material editor'!$D$11:$H$110,'Material editor'!$G$8,0)),VLOOKUP(LEFT(R38,3),'Material editor'!$D$11:$H$110,'Material editor'!$G$8,0),"")</f>
        <v/>
      </c>
      <c r="X38" s="137" t="str">
        <f>IF(ISNUMBER(VLOOKUP(LEFT(R38,3),'Material editor'!$D$11:$H$110,'Material editor'!$H$8,0)),VLOOKUP(LEFT(R38,3),'Material editor'!$D$11:$H$110,'Material editor'!$H$8,0),"")</f>
        <v/>
      </c>
      <c r="Y38" s="74"/>
      <c r="Z38" s="94">
        <v>35</v>
      </c>
      <c r="AA38" s="8"/>
      <c r="AB38" s="61"/>
      <c r="AC38" s="65"/>
      <c r="AD38" s="65"/>
      <c r="AE38" s="95">
        <f t="shared" si="32"/>
        <v>1</v>
      </c>
      <c r="AF38" s="95">
        <f t="shared" si="33"/>
        <v>1</v>
      </c>
      <c r="AG38" s="95">
        <f t="shared" si="34"/>
        <v>1</v>
      </c>
      <c r="AH38" s="65"/>
      <c r="AI38" s="95">
        <f t="shared" si="35"/>
        <v>3.5000000000000003E-2</v>
      </c>
      <c r="AJ38" s="95">
        <f t="shared" si="36"/>
        <v>3.5000000000000003E-2</v>
      </c>
      <c r="AK38" s="95">
        <f t="shared" si="37"/>
        <v>3.5000000000000003E-2</v>
      </c>
      <c r="AL38" s="65"/>
      <c r="AM38" s="96">
        <f t="shared" ref="AM38:AO44" si="39">AM37</f>
        <v>1</v>
      </c>
      <c r="AN38" s="96">
        <f t="shared" si="39"/>
        <v>0</v>
      </c>
      <c r="AO38" s="96">
        <f t="shared" si="39"/>
        <v>0</v>
      </c>
      <c r="AP38" s="65">
        <f t="shared" si="38"/>
        <v>1</v>
      </c>
      <c r="AQ38" s="65"/>
      <c r="AR38" s="65"/>
      <c r="AS38" s="65"/>
      <c r="AT38" s="95">
        <f>IF(ISNUMBER(H38),H38*F38*Z38/1000*Balance!$H$13/J38,0)</f>
        <v>2.5421666666666662</v>
      </c>
      <c r="AU38" s="95">
        <f>IF(ISTEXT(K38),IF(ISNUMBER(O38),O38*M38*Z38/1000*Balance!$H$13/Q38,0),AT38)</f>
        <v>2.5421666666666662</v>
      </c>
      <c r="AV38" s="95">
        <f>IF(ISTEXT(R38),IF(ISNUMBER(V38),V38*T38*Z38/1000*Balance!$H$13/X38,0),AT38)</f>
        <v>2.5421666666666662</v>
      </c>
      <c r="AW38" s="65"/>
      <c r="AX38" s="95">
        <f>AT38*AX35</f>
        <v>2.5421666666666662</v>
      </c>
      <c r="AY38" s="95">
        <f>AU38*AY35</f>
        <v>0</v>
      </c>
      <c r="AZ38" s="95">
        <f>AV38*AZ35</f>
        <v>0</v>
      </c>
      <c r="BA38" s="95">
        <f t="shared" ref="BA38:BA44" si="40">SUM(AX38:AZ38)</f>
        <v>2.5421666666666662</v>
      </c>
      <c r="BB38" s="65"/>
      <c r="BC38" s="95">
        <f>IF(ISNUMBER(I38),I38*F38*Z38/1000*Balance!$H$13/J38,0)</f>
        <v>0.57983333333333331</v>
      </c>
      <c r="BD38" s="95">
        <f>IF(ISTEXT(K38),IF(ISNUMBER(P38),P38*M38*Z38/1000*Balance!$H$13/Q38,0),BC38)</f>
        <v>0.57983333333333331</v>
      </c>
      <c r="BE38" s="95">
        <f>IF(ISTEXT(R38),IF(ISNUMBER(W38),W38*T38*Z38/1000*Balance!$H$13/X38,0),BC38)</f>
        <v>0.57983333333333331</v>
      </c>
      <c r="BF38" s="65"/>
      <c r="BG38" s="95">
        <f>BC38*BG35</f>
        <v>0.57983333333333331</v>
      </c>
      <c r="BH38" s="95">
        <f>BD38*BH35</f>
        <v>0</v>
      </c>
      <c r="BI38" s="95">
        <f>BE38*BI35</f>
        <v>0</v>
      </c>
      <c r="BJ38" s="95">
        <f t="shared" ref="BJ38:BJ44" si="41">SUM(BG38:BI38)</f>
        <v>0.57983333333333331</v>
      </c>
      <c r="BK38" s="65"/>
      <c r="BL38" s="65"/>
      <c r="BM38" s="361" t="str">
        <f>'Material editor'!C42</f>
        <v>100-;  kg/m³;  W/(mK);  years</v>
      </c>
    </row>
    <row r="39" spans="1:65" outlineLevel="1" x14ac:dyDescent="0.25">
      <c r="A39" s="61"/>
      <c r="B39" s="272"/>
      <c r="C39" s="91"/>
      <c r="D39" s="418" t="s">
        <v>1021</v>
      </c>
      <c r="E39" s="419"/>
      <c r="F39" s="94">
        <v>1</v>
      </c>
      <c r="G39" s="136">
        <f>IF(ISNUMBER(VLOOKUP(LEFT(D39,3),'Material editor'!$D$11:$H$110,'Material editor'!$E$8,0)),VLOOKUP(LEFT(D39,3),'Material editor'!$D$11:$H$110,'Material editor'!$E$8,0),"")</f>
        <v>7.0000000000000007E-2</v>
      </c>
      <c r="H39" s="137">
        <f>IF(ISNUMBER(VLOOKUP(LEFT(D39,3),'Material editor'!$D$11:$H$110,'Material editor'!$F$8,0)),VLOOKUP(LEFT(D39,3),'Material editor'!$D$11:$H$110,'Material editor'!$F$8,0),"")</f>
        <v>741.54338287331916</v>
      </c>
      <c r="I39" s="137">
        <f>IF(ISNUMBER(VLOOKUP(LEFT(D39,3),'Material editor'!$D$11:$H$110,'Material editor'!$G$8,0)),VLOOKUP(LEFT(D39,3),'Material editor'!$D$11:$H$110,'Material editor'!$G$8,0),"")</f>
        <v>309.22721974522295</v>
      </c>
      <c r="J39" s="137">
        <f>IF(ISNUMBER(VLOOKUP(LEFT(D39,3),'Material editor'!$D$11:$H$110,'Material editor'!$H$8,0)),VLOOKUP(LEFT(D39,3),'Material editor'!$D$11:$H$110,'Material editor'!$H$8,0),"")</f>
        <v>80</v>
      </c>
      <c r="K39" s="418"/>
      <c r="L39" s="407"/>
      <c r="M39" s="94"/>
      <c r="N39" s="136" t="str">
        <f>IF(ISNUMBER(VLOOKUP(LEFT(K39,3),'Material editor'!$D$11:$H$110,'Material editor'!$E$8,0)),VLOOKUP(LEFT(K39,3),'Material editor'!$D$11:$H$110,'Material editor'!$E$8,0),"")</f>
        <v/>
      </c>
      <c r="O39" s="137" t="str">
        <f>IF(ISNUMBER(VLOOKUP(LEFT(K39,3),'Material editor'!$D$11:$H$110,'Material editor'!$F$8,0)),VLOOKUP(LEFT(K39,3),'Material editor'!$D$11:$H$110,'Material editor'!$F$8,0),"")</f>
        <v/>
      </c>
      <c r="P39" s="137" t="str">
        <f>IF(ISNUMBER(VLOOKUP(LEFT(K39,3),'Material editor'!$D$11:$H$110,'Material editor'!$G$8,0)),VLOOKUP(LEFT(K39,3),'Material editor'!$D$11:$H$110,'Material editor'!$G$8,0),"")</f>
        <v/>
      </c>
      <c r="Q39" s="137" t="str">
        <f>IF(ISNUMBER(VLOOKUP(LEFT(K39,3),'Material editor'!$D$11:$H$110,'Material editor'!$H$8,0)),VLOOKUP(LEFT(K39,3),'Material editor'!$D$11:$H$110,'Material editor'!$H$8,0),"")</f>
        <v/>
      </c>
      <c r="R39" s="418"/>
      <c r="S39" s="407"/>
      <c r="T39" s="94"/>
      <c r="U39" s="136" t="str">
        <f>IF(ISNUMBER(VLOOKUP(LEFT(R39,3),'Material editor'!$D$11:$H$110,'Material editor'!$E$8,0)),VLOOKUP(LEFT(R39,3),'Material editor'!$D$11:$H$110,'Material editor'!$E$8,0),"")</f>
        <v/>
      </c>
      <c r="V39" s="137" t="str">
        <f>IF(ISNUMBER(VLOOKUP(LEFT(R39,3),'Material editor'!$D$11:$H$110,'Material editor'!$F$8,0)),VLOOKUP(LEFT(R39,3),'Material editor'!$D$11:$H$110,'Material editor'!$F$8,0),"")</f>
        <v/>
      </c>
      <c r="W39" s="137" t="str">
        <f>IF(ISNUMBER(VLOOKUP(LEFT(R39,3),'Material editor'!$D$11:$H$110,'Material editor'!$G$8,0)),VLOOKUP(LEFT(R39,3),'Material editor'!$D$11:$H$110,'Material editor'!$G$8,0),"")</f>
        <v/>
      </c>
      <c r="X39" s="137" t="str">
        <f>IF(ISNUMBER(VLOOKUP(LEFT(R39,3),'Material editor'!$D$11:$H$110,'Material editor'!$H$8,0)),VLOOKUP(LEFT(R39,3),'Material editor'!$D$11:$H$110,'Material editor'!$H$8,0),"")</f>
        <v/>
      </c>
      <c r="Y39" s="74"/>
      <c r="Z39" s="94">
        <v>160</v>
      </c>
      <c r="AA39" s="8"/>
      <c r="AB39" s="61"/>
      <c r="AC39" s="65"/>
      <c r="AD39" s="65"/>
      <c r="AE39" s="95">
        <f t="shared" si="32"/>
        <v>2.2857142857142856</v>
      </c>
      <c r="AF39" s="95">
        <f t="shared" si="33"/>
        <v>2.2857142857142856</v>
      </c>
      <c r="AG39" s="95">
        <f t="shared" si="34"/>
        <v>2.2857142857142856</v>
      </c>
      <c r="AH39" s="65"/>
      <c r="AI39" s="95">
        <f t="shared" si="35"/>
        <v>7.0000000000000007E-2</v>
      </c>
      <c r="AJ39" s="95">
        <f t="shared" si="36"/>
        <v>7.0000000000000007E-2</v>
      </c>
      <c r="AK39" s="95">
        <f t="shared" si="37"/>
        <v>7.0000000000000007E-2</v>
      </c>
      <c r="AL39" s="65"/>
      <c r="AM39" s="96">
        <f t="shared" si="39"/>
        <v>1</v>
      </c>
      <c r="AN39" s="96">
        <f t="shared" si="39"/>
        <v>0</v>
      </c>
      <c r="AO39" s="96">
        <f t="shared" si="39"/>
        <v>0</v>
      </c>
      <c r="AP39" s="65">
        <f t="shared" si="38"/>
        <v>2.2857142857142856</v>
      </c>
      <c r="AQ39" s="65"/>
      <c r="AR39" s="65"/>
      <c r="AS39" s="65"/>
      <c r="AT39" s="95">
        <f>IF(ISNUMBER(H39),H39*F39*Z39/1000*Balance!$H$13/J39,0)</f>
        <v>29.66173531493277</v>
      </c>
      <c r="AU39" s="95">
        <f>IF(ISTEXT(K39),IF(ISNUMBER(O39),O39*M39*Z39/1000*Balance!$H$13/Q39,0),AT39)</f>
        <v>29.66173531493277</v>
      </c>
      <c r="AV39" s="95">
        <f>IF(ISTEXT(R39),IF(ISNUMBER(V39),V39*T39*Z39/1000*Balance!$H$13/X39,0),AT39)</f>
        <v>29.66173531493277</v>
      </c>
      <c r="AW39" s="65"/>
      <c r="AX39" s="95">
        <f>AT39*AX35</f>
        <v>29.66173531493277</v>
      </c>
      <c r="AY39" s="95">
        <f>AU39*AY35</f>
        <v>0</v>
      </c>
      <c r="AZ39" s="95">
        <f>AV39*AZ35</f>
        <v>0</v>
      </c>
      <c r="BA39" s="95">
        <f t="shared" si="40"/>
        <v>29.66173531493277</v>
      </c>
      <c r="BB39" s="65"/>
      <c r="BC39" s="95">
        <f>IF(ISNUMBER(I39),I39*F39*Z39/1000*Balance!$H$13/J39,0)</f>
        <v>12.369088789808918</v>
      </c>
      <c r="BD39" s="95">
        <f>IF(ISTEXT(K39),IF(ISNUMBER(P39),P39*M39*Z39/1000*Balance!$H$13/Q39,0),BC39)</f>
        <v>12.369088789808918</v>
      </c>
      <c r="BE39" s="95">
        <f>IF(ISTEXT(R39),IF(ISNUMBER(W39),W39*T39*Z39/1000*Balance!$H$13/X39,0),BC39)</f>
        <v>12.369088789808918</v>
      </c>
      <c r="BF39" s="65"/>
      <c r="BG39" s="95">
        <f>BC39*BG35</f>
        <v>12.369088789808918</v>
      </c>
      <c r="BH39" s="95">
        <f>BD39*BH35</f>
        <v>0</v>
      </c>
      <c r="BI39" s="95">
        <f>BE39*BI35</f>
        <v>0</v>
      </c>
      <c r="BJ39" s="95">
        <f t="shared" si="41"/>
        <v>12.369088789808918</v>
      </c>
      <c r="BK39" s="65"/>
      <c r="BL39" s="65"/>
      <c r="BM39" s="361" t="str">
        <f>'Material editor'!C43</f>
        <v>101-;  kg/m³;  W/(mK);  years</v>
      </c>
    </row>
    <row r="40" spans="1:65" outlineLevel="1" x14ac:dyDescent="0.25">
      <c r="A40" s="61"/>
      <c r="B40" s="272"/>
      <c r="C40" s="91"/>
      <c r="D40" s="418" t="s">
        <v>1022</v>
      </c>
      <c r="E40" s="419"/>
      <c r="F40" s="94">
        <v>1</v>
      </c>
      <c r="G40" s="136">
        <f>IF(ISNUMBER(VLOOKUP(LEFT(D40,3),'Material editor'!$D$11:$H$110,'Material editor'!$E$8,0)),VLOOKUP(LEFT(D40,3),'Material editor'!$D$11:$H$110,'Material editor'!$E$8,0),"")</f>
        <v>3.5999999999999997E-2</v>
      </c>
      <c r="H40" s="137">
        <f>IF(ISNUMBER(VLOOKUP(LEFT(D40,3),'Material editor'!$D$11:$H$110,'Material editor'!$F$8,0)),VLOOKUP(LEFT(D40,3),'Material editor'!$D$11:$H$110,'Material editor'!$F$8,0),"")</f>
        <v>540.05697783972994</v>
      </c>
      <c r="I40" s="137">
        <f>IF(ISNUMBER(VLOOKUP(LEFT(D40,3),'Material editor'!$D$11:$H$110,'Material editor'!$G$8,0)),VLOOKUP(LEFT(D40,3),'Material editor'!$D$11:$H$110,'Material editor'!$G$8,0),"")</f>
        <v>115.88862783720495</v>
      </c>
      <c r="J40" s="137">
        <f>IF(ISNUMBER(VLOOKUP(LEFT(D40,3),'Material editor'!$D$11:$H$110,'Material editor'!$H$8,0)),VLOOKUP(LEFT(D40,3),'Material editor'!$D$11:$H$110,'Material editor'!$H$8,0),"")</f>
        <v>80</v>
      </c>
      <c r="K40" s="418"/>
      <c r="L40" s="407"/>
      <c r="M40" s="94"/>
      <c r="N40" s="136" t="str">
        <f>IF(ISNUMBER(VLOOKUP(LEFT(K40,3),'Material editor'!$D$11:$H$110,'Material editor'!$E$8,0)),VLOOKUP(LEFT(K40,3),'Material editor'!$D$11:$H$110,'Material editor'!$E$8,0),"")</f>
        <v/>
      </c>
      <c r="O40" s="137" t="str">
        <f>IF(ISNUMBER(VLOOKUP(LEFT(K40,3),'Material editor'!$D$11:$H$110,'Material editor'!$F$8,0)),VLOOKUP(LEFT(K40,3),'Material editor'!$D$11:$H$110,'Material editor'!$F$8,0),"")</f>
        <v/>
      </c>
      <c r="P40" s="137" t="str">
        <f>IF(ISNUMBER(VLOOKUP(LEFT(K40,3),'Material editor'!$D$11:$H$110,'Material editor'!$G$8,0)),VLOOKUP(LEFT(K40,3),'Material editor'!$D$11:$H$110,'Material editor'!$G$8,0),"")</f>
        <v/>
      </c>
      <c r="Q40" s="137" t="str">
        <f>IF(ISNUMBER(VLOOKUP(LEFT(K40,3),'Material editor'!$D$11:$H$110,'Material editor'!$H$8,0)),VLOOKUP(LEFT(K40,3),'Material editor'!$D$11:$H$110,'Material editor'!$H$8,0),"")</f>
        <v/>
      </c>
      <c r="R40" s="418"/>
      <c r="S40" s="407"/>
      <c r="T40" s="94"/>
      <c r="U40" s="136" t="str">
        <f>IF(ISNUMBER(VLOOKUP(LEFT(R40,3),'Material editor'!$D$11:$H$110,'Material editor'!$E$8,0)),VLOOKUP(LEFT(R40,3),'Material editor'!$D$11:$H$110,'Material editor'!$E$8,0),"")</f>
        <v/>
      </c>
      <c r="V40" s="137" t="str">
        <f>IF(ISNUMBER(VLOOKUP(LEFT(R40,3),'Material editor'!$D$11:$H$110,'Material editor'!$F$8,0)),VLOOKUP(LEFT(R40,3),'Material editor'!$D$11:$H$110,'Material editor'!$F$8,0),"")</f>
        <v/>
      </c>
      <c r="W40" s="137" t="str">
        <f>IF(ISNUMBER(VLOOKUP(LEFT(R40,3),'Material editor'!$D$11:$H$110,'Material editor'!$G$8,0)),VLOOKUP(LEFT(R40,3),'Material editor'!$D$11:$H$110,'Material editor'!$G$8,0),"")</f>
        <v/>
      </c>
      <c r="X40" s="137" t="str">
        <f>IF(ISNUMBER(VLOOKUP(LEFT(R40,3),'Material editor'!$D$11:$H$110,'Material editor'!$H$8,0)),VLOOKUP(LEFT(R40,3),'Material editor'!$D$11:$H$110,'Material editor'!$H$8,0),"")</f>
        <v/>
      </c>
      <c r="Y40" s="74"/>
      <c r="Z40" s="94">
        <v>180</v>
      </c>
      <c r="AA40" s="8"/>
      <c r="AB40" s="61"/>
      <c r="AC40" s="65"/>
      <c r="AD40" s="65"/>
      <c r="AE40" s="95">
        <f t="shared" si="32"/>
        <v>5</v>
      </c>
      <c r="AF40" s="95">
        <f t="shared" si="33"/>
        <v>5</v>
      </c>
      <c r="AG40" s="95">
        <f t="shared" si="34"/>
        <v>5</v>
      </c>
      <c r="AH40" s="65"/>
      <c r="AI40" s="95">
        <f t="shared" si="35"/>
        <v>3.5999999999999997E-2</v>
      </c>
      <c r="AJ40" s="95">
        <f t="shared" si="36"/>
        <v>3.5999999999999997E-2</v>
      </c>
      <c r="AK40" s="95">
        <f t="shared" si="37"/>
        <v>3.5999999999999997E-2</v>
      </c>
      <c r="AL40" s="65"/>
      <c r="AM40" s="96">
        <f t="shared" si="39"/>
        <v>1</v>
      </c>
      <c r="AN40" s="96">
        <f t="shared" si="39"/>
        <v>0</v>
      </c>
      <c r="AO40" s="96">
        <f t="shared" si="39"/>
        <v>0</v>
      </c>
      <c r="AP40" s="65">
        <f t="shared" si="38"/>
        <v>5</v>
      </c>
      <c r="AQ40" s="65"/>
      <c r="AR40" s="65"/>
      <c r="AS40" s="65"/>
      <c r="AT40" s="95">
        <f>IF(ISNUMBER(H40),H40*F40*Z40/1000*Balance!$H$13/J40,0)</f>
        <v>24.302564002787847</v>
      </c>
      <c r="AU40" s="95">
        <f>IF(ISTEXT(K40),IF(ISNUMBER(O40),O40*M40*Z40/1000*Balance!$H$13/Q40,0),AT40)</f>
        <v>24.302564002787847</v>
      </c>
      <c r="AV40" s="95">
        <f>IF(ISTEXT(R40),IF(ISNUMBER(V40),V40*T40*Z40/1000*Balance!$H$13/X40,0),AT40)</f>
        <v>24.302564002787847</v>
      </c>
      <c r="AW40" s="65"/>
      <c r="AX40" s="95">
        <f>AT40*AX35</f>
        <v>24.302564002787847</v>
      </c>
      <c r="AY40" s="95">
        <f>AU40*AY35</f>
        <v>0</v>
      </c>
      <c r="AZ40" s="95">
        <f>AV40*AZ35</f>
        <v>0</v>
      </c>
      <c r="BA40" s="95">
        <f t="shared" si="40"/>
        <v>24.302564002787847</v>
      </c>
      <c r="BB40" s="65"/>
      <c r="BC40" s="95">
        <f>IF(ISNUMBER(I40),I40*F40*Z40/1000*Balance!$H$13/J40,0)</f>
        <v>5.2149882526742228</v>
      </c>
      <c r="BD40" s="95">
        <f>IF(ISTEXT(K40),IF(ISNUMBER(P40),P40*M40*Z40/1000*Balance!$H$13/Q40,0),BC40)</f>
        <v>5.2149882526742228</v>
      </c>
      <c r="BE40" s="95">
        <f>IF(ISTEXT(R40),IF(ISNUMBER(W40),W40*T40*Z40/1000*Balance!$H$13/X40,0),BC40)</f>
        <v>5.2149882526742228</v>
      </c>
      <c r="BF40" s="65"/>
      <c r="BG40" s="95">
        <f>BC40*BG35</f>
        <v>5.2149882526742228</v>
      </c>
      <c r="BH40" s="95">
        <f>BD40*BH35</f>
        <v>0</v>
      </c>
      <c r="BI40" s="95">
        <f>BE40*BI35</f>
        <v>0</v>
      </c>
      <c r="BJ40" s="95">
        <f t="shared" si="41"/>
        <v>5.2149882526742228</v>
      </c>
      <c r="BK40" s="65"/>
      <c r="BL40" s="65"/>
      <c r="BM40" s="361" t="str">
        <f>'Material editor'!C44</f>
        <v>102-;  kg/m³;  W/(mK);  years</v>
      </c>
    </row>
    <row r="41" spans="1:65" outlineLevel="1" x14ac:dyDescent="0.25">
      <c r="A41" s="61"/>
      <c r="B41" s="272"/>
      <c r="C41" s="91"/>
      <c r="D41" s="418"/>
      <c r="E41" s="419"/>
      <c r="F41" s="94"/>
      <c r="G41" s="136" t="str">
        <f>IF(ISNUMBER(VLOOKUP(LEFT(D41,3),'Material editor'!$D$11:$H$110,'Material editor'!$E$8,0)),VLOOKUP(LEFT(D41,3),'Material editor'!$D$11:$H$110,'Material editor'!$E$8,0),"")</f>
        <v/>
      </c>
      <c r="H41" s="137" t="str">
        <f>IF(ISNUMBER(VLOOKUP(LEFT(D41,3),'Material editor'!$D$11:$H$110,'Material editor'!$F$8,0)),VLOOKUP(LEFT(D41,3),'Material editor'!$D$11:$H$110,'Material editor'!$F$8,0),"")</f>
        <v/>
      </c>
      <c r="I41" s="137" t="str">
        <f>IF(ISNUMBER(VLOOKUP(LEFT(D41,3),'Material editor'!$D$11:$H$110,'Material editor'!$G$8,0)),VLOOKUP(LEFT(D41,3),'Material editor'!$D$11:$H$110,'Material editor'!$G$8,0),"")</f>
        <v/>
      </c>
      <c r="J41" s="137" t="str">
        <f>IF(ISNUMBER(VLOOKUP(LEFT(D41,3),'Material editor'!$D$11:$H$110,'Material editor'!$H$8,0)),VLOOKUP(LEFT(D41,3),'Material editor'!$D$11:$H$110,'Material editor'!$H$8,0),"")</f>
        <v/>
      </c>
      <c r="K41" s="418"/>
      <c r="L41" s="407"/>
      <c r="M41" s="94"/>
      <c r="N41" s="136" t="str">
        <f>IF(ISNUMBER(VLOOKUP(LEFT(K41,3),'Material editor'!$D$11:$H$110,'Material editor'!$E$8,0)),VLOOKUP(LEFT(K41,3),'Material editor'!$D$11:$H$110,'Material editor'!$E$8,0),"")</f>
        <v/>
      </c>
      <c r="O41" s="137" t="str">
        <f>IF(ISNUMBER(VLOOKUP(LEFT(K41,3),'Material editor'!$D$11:$H$110,'Material editor'!$F$8,0)),VLOOKUP(LEFT(K41,3),'Material editor'!$D$11:$H$110,'Material editor'!$F$8,0),"")</f>
        <v/>
      </c>
      <c r="P41" s="137" t="str">
        <f>IF(ISNUMBER(VLOOKUP(LEFT(K41,3),'Material editor'!$D$11:$H$110,'Material editor'!$G$8,0)),VLOOKUP(LEFT(K41,3),'Material editor'!$D$11:$H$110,'Material editor'!$G$8,0),"")</f>
        <v/>
      </c>
      <c r="Q41" s="137" t="str">
        <f>IF(ISNUMBER(VLOOKUP(LEFT(K41,3),'Material editor'!$D$11:$H$110,'Material editor'!$H$8,0)),VLOOKUP(LEFT(K41,3),'Material editor'!$D$11:$H$110,'Material editor'!$H$8,0),"")</f>
        <v/>
      </c>
      <c r="R41" s="418"/>
      <c r="S41" s="407"/>
      <c r="T41" s="94"/>
      <c r="U41" s="136" t="str">
        <f>IF(ISNUMBER(VLOOKUP(LEFT(R41,3),'Material editor'!$D$11:$H$110,'Material editor'!$E$8,0)),VLOOKUP(LEFT(R41,3),'Material editor'!$D$11:$H$110,'Material editor'!$E$8,0),"")</f>
        <v/>
      </c>
      <c r="V41" s="137" t="str">
        <f>IF(ISNUMBER(VLOOKUP(LEFT(R41,3),'Material editor'!$D$11:$H$110,'Material editor'!$F$8,0)),VLOOKUP(LEFT(R41,3),'Material editor'!$D$11:$H$110,'Material editor'!$F$8,0),"")</f>
        <v/>
      </c>
      <c r="W41" s="137" t="str">
        <f>IF(ISNUMBER(VLOOKUP(LEFT(R41,3),'Material editor'!$D$11:$H$110,'Material editor'!$G$8,0)),VLOOKUP(LEFT(R41,3),'Material editor'!$D$11:$H$110,'Material editor'!$G$8,0),"")</f>
        <v/>
      </c>
      <c r="X41" s="137" t="str">
        <f>IF(ISNUMBER(VLOOKUP(LEFT(R41,3),'Material editor'!$D$11:$H$110,'Material editor'!$H$8,0)),VLOOKUP(LEFT(R41,3),'Material editor'!$D$11:$H$110,'Material editor'!$H$8,0),"")</f>
        <v/>
      </c>
      <c r="Y41" s="74"/>
      <c r="Z41" s="94"/>
      <c r="AA41" s="8"/>
      <c r="AB41" s="61"/>
      <c r="AC41" s="65"/>
      <c r="AD41" s="65"/>
      <c r="AE41" s="95">
        <f t="shared" si="32"/>
        <v>0</v>
      </c>
      <c r="AF41" s="95">
        <f t="shared" si="33"/>
        <v>0</v>
      </c>
      <c r="AG41" s="95">
        <f t="shared" si="34"/>
        <v>0</v>
      </c>
      <c r="AH41" s="65"/>
      <c r="AI41" s="95">
        <f t="shared" si="35"/>
        <v>0</v>
      </c>
      <c r="AJ41" s="95">
        <f t="shared" si="36"/>
        <v>0</v>
      </c>
      <c r="AK41" s="95">
        <f t="shared" si="37"/>
        <v>0</v>
      </c>
      <c r="AL41" s="65"/>
      <c r="AM41" s="96">
        <f t="shared" si="39"/>
        <v>1</v>
      </c>
      <c r="AN41" s="96">
        <f t="shared" si="39"/>
        <v>0</v>
      </c>
      <c r="AO41" s="96">
        <f t="shared" si="39"/>
        <v>0</v>
      </c>
      <c r="AP41" s="65">
        <f t="shared" si="38"/>
        <v>0</v>
      </c>
      <c r="AQ41" s="65"/>
      <c r="AR41" s="65"/>
      <c r="AS41" s="65"/>
      <c r="AT41" s="95">
        <f>IF(ISNUMBER(H41),H41*F41*Z41/1000*Balance!$H$13/J41,0)</f>
        <v>0</v>
      </c>
      <c r="AU41" s="95">
        <f>IF(ISTEXT(K41),IF(ISNUMBER(O41),O41*M41*Z41/1000*Balance!$H$13/Q41,0),AT41)</f>
        <v>0</v>
      </c>
      <c r="AV41" s="95">
        <f>IF(ISTEXT(R41),IF(ISNUMBER(V41),V41*T41*Z41/1000*Balance!$H$13/X41,0),AT41)</f>
        <v>0</v>
      </c>
      <c r="AW41" s="65"/>
      <c r="AX41" s="95">
        <f>AT41*AX35</f>
        <v>0</v>
      </c>
      <c r="AY41" s="95">
        <f>AU41*AY35</f>
        <v>0</v>
      </c>
      <c r="AZ41" s="95">
        <f>AV41*AZ35</f>
        <v>0</v>
      </c>
      <c r="BA41" s="95">
        <f t="shared" si="40"/>
        <v>0</v>
      </c>
      <c r="BB41" s="65"/>
      <c r="BC41" s="95">
        <f>IF(ISNUMBER(I41),I41*F41*Z41/1000*Balance!$H$13/J41,0)</f>
        <v>0</v>
      </c>
      <c r="BD41" s="95">
        <f>IF(ISTEXT(K41),IF(ISNUMBER(P41),P41*M41*Z41/1000*Balance!$H$13/Q41,0),BC41)</f>
        <v>0</v>
      </c>
      <c r="BE41" s="95">
        <f>IF(ISTEXT(R41),IF(ISNUMBER(W41),W41*T41*Z41/1000*Balance!$H$13/X41,0),BC41)</f>
        <v>0</v>
      </c>
      <c r="BF41" s="65"/>
      <c r="BG41" s="95">
        <f>BC41*BG35</f>
        <v>0</v>
      </c>
      <c r="BH41" s="95">
        <f>BD41*BH35</f>
        <v>0</v>
      </c>
      <c r="BI41" s="95">
        <f>BE41*BI35</f>
        <v>0</v>
      </c>
      <c r="BJ41" s="95">
        <f t="shared" si="41"/>
        <v>0</v>
      </c>
      <c r="BK41" s="65"/>
      <c r="BL41" s="65"/>
      <c r="BM41" s="361" t="str">
        <f>'Material editor'!C45</f>
        <v>103-;  kg/m³;  W/(mK);  years</v>
      </c>
    </row>
    <row r="42" spans="1:65" outlineLevel="1" x14ac:dyDescent="0.25">
      <c r="A42" s="61"/>
      <c r="B42" s="272"/>
      <c r="C42" s="91"/>
      <c r="D42" s="418"/>
      <c r="E42" s="419"/>
      <c r="F42" s="94"/>
      <c r="G42" s="136" t="str">
        <f>IF(ISNUMBER(VLOOKUP(LEFT(D42,3),'Material editor'!$D$11:$H$110,'Material editor'!$E$8,0)),VLOOKUP(LEFT(D42,3),'Material editor'!$D$11:$H$110,'Material editor'!$E$8,0),"")</f>
        <v/>
      </c>
      <c r="H42" s="137" t="str">
        <f>IF(ISNUMBER(VLOOKUP(LEFT(D42,3),'Material editor'!$D$11:$H$110,'Material editor'!$F$8,0)),VLOOKUP(LEFT(D42,3),'Material editor'!$D$11:$H$110,'Material editor'!$F$8,0),"")</f>
        <v/>
      </c>
      <c r="I42" s="137" t="str">
        <f>IF(ISNUMBER(VLOOKUP(LEFT(D42,3),'Material editor'!$D$11:$H$110,'Material editor'!$G$8,0)),VLOOKUP(LEFT(D42,3),'Material editor'!$D$11:$H$110,'Material editor'!$G$8,0),"")</f>
        <v/>
      </c>
      <c r="J42" s="137" t="str">
        <f>IF(ISNUMBER(VLOOKUP(LEFT(D42,3),'Material editor'!$D$11:$H$110,'Material editor'!$H$8,0)),VLOOKUP(LEFT(D42,3),'Material editor'!$D$11:$H$110,'Material editor'!$H$8,0),"")</f>
        <v/>
      </c>
      <c r="K42" s="418"/>
      <c r="L42" s="407"/>
      <c r="M42" s="94"/>
      <c r="N42" s="136" t="str">
        <f>IF(ISNUMBER(VLOOKUP(LEFT(K42,3),'Material editor'!$D$11:$H$110,'Material editor'!$E$8,0)),VLOOKUP(LEFT(K42,3),'Material editor'!$D$11:$H$110,'Material editor'!$E$8,0),"")</f>
        <v/>
      </c>
      <c r="O42" s="137" t="str">
        <f>IF(ISNUMBER(VLOOKUP(LEFT(K42,3),'Material editor'!$D$11:$H$110,'Material editor'!$F$8,0)),VLOOKUP(LEFT(K42,3),'Material editor'!$D$11:$H$110,'Material editor'!$F$8,0),"")</f>
        <v/>
      </c>
      <c r="P42" s="137" t="str">
        <f>IF(ISNUMBER(VLOOKUP(LEFT(K42,3),'Material editor'!$D$11:$H$110,'Material editor'!$G$8,0)),VLOOKUP(LEFT(K42,3),'Material editor'!$D$11:$H$110,'Material editor'!$G$8,0),"")</f>
        <v/>
      </c>
      <c r="Q42" s="137" t="str">
        <f>IF(ISNUMBER(VLOOKUP(LEFT(K42,3),'Material editor'!$D$11:$H$110,'Material editor'!$H$8,0)),VLOOKUP(LEFT(K42,3),'Material editor'!$D$11:$H$110,'Material editor'!$H$8,0),"")</f>
        <v/>
      </c>
      <c r="R42" s="418"/>
      <c r="S42" s="407"/>
      <c r="T42" s="94"/>
      <c r="U42" s="136" t="str">
        <f>IF(ISNUMBER(VLOOKUP(LEFT(R42,3),'Material editor'!$D$11:$H$110,'Material editor'!$E$8,0)),VLOOKUP(LEFT(R42,3),'Material editor'!$D$11:$H$110,'Material editor'!$E$8,0),"")</f>
        <v/>
      </c>
      <c r="V42" s="137" t="str">
        <f>IF(ISNUMBER(VLOOKUP(LEFT(R42,3),'Material editor'!$D$11:$H$110,'Material editor'!$F$8,0)),VLOOKUP(LEFT(R42,3),'Material editor'!$D$11:$H$110,'Material editor'!$F$8,0),"")</f>
        <v/>
      </c>
      <c r="W42" s="137" t="str">
        <f>IF(ISNUMBER(VLOOKUP(LEFT(R42,3),'Material editor'!$D$11:$H$110,'Material editor'!$G$8,0)),VLOOKUP(LEFT(R42,3),'Material editor'!$D$11:$H$110,'Material editor'!$G$8,0),"")</f>
        <v/>
      </c>
      <c r="X42" s="137" t="str">
        <f>IF(ISNUMBER(VLOOKUP(LEFT(R42,3),'Material editor'!$D$11:$H$110,'Material editor'!$H$8,0)),VLOOKUP(LEFT(R42,3),'Material editor'!$D$11:$H$110,'Material editor'!$H$8,0),"")</f>
        <v/>
      </c>
      <c r="Y42" s="74"/>
      <c r="Z42" s="94"/>
      <c r="AA42" s="8"/>
      <c r="AB42" s="61"/>
      <c r="AC42" s="65"/>
      <c r="AD42" s="65"/>
      <c r="AE42" s="95">
        <f t="shared" si="32"/>
        <v>0</v>
      </c>
      <c r="AF42" s="95">
        <f t="shared" si="33"/>
        <v>0</v>
      </c>
      <c r="AG42" s="95">
        <f t="shared" si="34"/>
        <v>0</v>
      </c>
      <c r="AH42" s="65"/>
      <c r="AI42" s="95">
        <f>IF(ISNUMBER(G42),G42,0)</f>
        <v>0</v>
      </c>
      <c r="AJ42" s="95">
        <f t="shared" si="36"/>
        <v>0</v>
      </c>
      <c r="AK42" s="95">
        <f t="shared" si="37"/>
        <v>0</v>
      </c>
      <c r="AL42" s="65"/>
      <c r="AM42" s="96">
        <f t="shared" si="39"/>
        <v>1</v>
      </c>
      <c r="AN42" s="96">
        <f t="shared" si="39"/>
        <v>0</v>
      </c>
      <c r="AO42" s="96">
        <f t="shared" si="39"/>
        <v>0</v>
      </c>
      <c r="AP42" s="65">
        <f t="shared" si="38"/>
        <v>0</v>
      </c>
      <c r="AQ42" s="65"/>
      <c r="AR42" s="65"/>
      <c r="AS42" s="66"/>
      <c r="AT42" s="95">
        <f>IF(ISNUMBER(H42),H42*F42*Z42/1000*Balance!$H$13/J42,0)</f>
        <v>0</v>
      </c>
      <c r="AU42" s="95">
        <f>IF(ISTEXT(K42),IF(ISNUMBER(O42),O42*M42*Z42/1000*Balance!$H$13/Q42,0),AT42)</f>
        <v>0</v>
      </c>
      <c r="AV42" s="95">
        <f>IF(ISTEXT(R42),IF(ISNUMBER(V42),V42*T42*Z42/1000*Balance!$H$13/X42,0),AT42)</f>
        <v>0</v>
      </c>
      <c r="AW42" s="66"/>
      <c r="AX42" s="95">
        <f>AT42*AX35</f>
        <v>0</v>
      </c>
      <c r="AY42" s="95">
        <f>AU42*AY35</f>
        <v>0</v>
      </c>
      <c r="AZ42" s="95">
        <f>AV42*AZ35</f>
        <v>0</v>
      </c>
      <c r="BA42" s="95">
        <f t="shared" si="40"/>
        <v>0</v>
      </c>
      <c r="BB42" s="66"/>
      <c r="BC42" s="95">
        <f>IF(ISNUMBER(I42),I42*F42*Z42/1000*Balance!$H$13/J42,0)</f>
        <v>0</v>
      </c>
      <c r="BD42" s="95">
        <f>IF(ISTEXT(K42),IF(ISNUMBER(P42),P42*M42*Z42/1000*Balance!$H$13/Q42,0),BC42)</f>
        <v>0</v>
      </c>
      <c r="BE42" s="95">
        <f>IF(ISTEXT(R42),IF(ISNUMBER(W42),W42*T42*Z42/1000*Balance!$H$13/X42,0),BC42)</f>
        <v>0</v>
      </c>
      <c r="BF42" s="66"/>
      <c r="BG42" s="95">
        <f>BC42*BG35</f>
        <v>0</v>
      </c>
      <c r="BH42" s="95">
        <f>BD42*BH35</f>
        <v>0</v>
      </c>
      <c r="BI42" s="95">
        <f>BE42*BI35</f>
        <v>0</v>
      </c>
      <c r="BJ42" s="95">
        <f t="shared" si="41"/>
        <v>0</v>
      </c>
      <c r="BK42" s="66"/>
      <c r="BL42" s="66"/>
      <c r="BM42" s="361" t="str">
        <f>'Material editor'!C46</f>
        <v>104-;  kg/m³;  W/(mK);  years</v>
      </c>
    </row>
    <row r="43" spans="1:65" outlineLevel="1" x14ac:dyDescent="0.25">
      <c r="A43" s="61"/>
      <c r="B43" s="272"/>
      <c r="C43" s="91"/>
      <c r="D43" s="418"/>
      <c r="E43" s="419"/>
      <c r="F43" s="94"/>
      <c r="G43" s="136" t="str">
        <f>IF(ISNUMBER(VLOOKUP(LEFT(D43,3),'Material editor'!$D$11:$H$110,'Material editor'!$E$8,0)),VLOOKUP(LEFT(D43,3),'Material editor'!$D$11:$H$110,'Material editor'!$E$8,0),"")</f>
        <v/>
      </c>
      <c r="H43" s="137" t="str">
        <f>IF(ISNUMBER(VLOOKUP(LEFT(D43,3),'Material editor'!$D$11:$H$110,'Material editor'!$F$8,0)),VLOOKUP(LEFT(D43,3),'Material editor'!$D$11:$H$110,'Material editor'!$F$8,0),"")</f>
        <v/>
      </c>
      <c r="I43" s="137" t="str">
        <f>IF(ISNUMBER(VLOOKUP(LEFT(D43,3),'Material editor'!$D$11:$H$110,'Material editor'!$G$8,0)),VLOOKUP(LEFT(D43,3),'Material editor'!$D$11:$H$110,'Material editor'!$G$8,0),"")</f>
        <v/>
      </c>
      <c r="J43" s="137" t="str">
        <f>IF(ISNUMBER(VLOOKUP(LEFT(D43,3),'Material editor'!$D$11:$H$110,'Material editor'!$H$8,0)),VLOOKUP(LEFT(D43,3),'Material editor'!$D$11:$H$110,'Material editor'!$H$8,0),"")</f>
        <v/>
      </c>
      <c r="K43" s="418"/>
      <c r="L43" s="407"/>
      <c r="M43" s="94"/>
      <c r="N43" s="136" t="str">
        <f>IF(ISNUMBER(VLOOKUP(LEFT(K43,3),'Material editor'!$D$11:$H$110,'Material editor'!$E$8,0)),VLOOKUP(LEFT(K43,3),'Material editor'!$D$11:$H$110,'Material editor'!$E$8,0),"")</f>
        <v/>
      </c>
      <c r="O43" s="137" t="str">
        <f>IF(ISNUMBER(VLOOKUP(LEFT(K43,3),'Material editor'!$D$11:$H$110,'Material editor'!$F$8,0)),VLOOKUP(LEFT(K43,3),'Material editor'!$D$11:$H$110,'Material editor'!$F$8,0),"")</f>
        <v/>
      </c>
      <c r="P43" s="137" t="str">
        <f>IF(ISNUMBER(VLOOKUP(LEFT(K43,3),'Material editor'!$D$11:$H$110,'Material editor'!$G$8,0)),VLOOKUP(LEFT(K43,3),'Material editor'!$D$11:$H$110,'Material editor'!$G$8,0),"")</f>
        <v/>
      </c>
      <c r="Q43" s="137" t="str">
        <f>IF(ISNUMBER(VLOOKUP(LEFT(K43,3),'Material editor'!$D$11:$H$110,'Material editor'!$H$8,0)),VLOOKUP(LEFT(K43,3),'Material editor'!$D$11:$H$110,'Material editor'!$H$8,0),"")</f>
        <v/>
      </c>
      <c r="R43" s="418"/>
      <c r="S43" s="407"/>
      <c r="T43" s="94"/>
      <c r="U43" s="136" t="str">
        <f>IF(ISNUMBER(VLOOKUP(LEFT(R43,3),'Material editor'!$D$11:$H$110,'Material editor'!$E$8,0)),VLOOKUP(LEFT(R43,3),'Material editor'!$D$11:$H$110,'Material editor'!$E$8,0),"")</f>
        <v/>
      </c>
      <c r="V43" s="137" t="str">
        <f>IF(ISNUMBER(VLOOKUP(LEFT(R43,3),'Material editor'!$D$11:$H$110,'Material editor'!$F$8,0)),VLOOKUP(LEFT(R43,3),'Material editor'!$D$11:$H$110,'Material editor'!$F$8,0),"")</f>
        <v/>
      </c>
      <c r="W43" s="137" t="str">
        <f>IF(ISNUMBER(VLOOKUP(LEFT(R43,3),'Material editor'!$D$11:$H$110,'Material editor'!$G$8,0)),VLOOKUP(LEFT(R43,3),'Material editor'!$D$11:$H$110,'Material editor'!$G$8,0),"")</f>
        <v/>
      </c>
      <c r="X43" s="137" t="str">
        <f>IF(ISNUMBER(VLOOKUP(LEFT(R43,3),'Material editor'!$D$11:$H$110,'Material editor'!$H$8,0)),VLOOKUP(LEFT(R43,3),'Material editor'!$D$11:$H$110,'Material editor'!$H$8,0),"")</f>
        <v/>
      </c>
      <c r="Y43" s="74"/>
      <c r="Z43" s="94"/>
      <c r="AA43" s="8"/>
      <c r="AB43" s="61"/>
      <c r="AC43" s="65"/>
      <c r="AD43" s="65"/>
      <c r="AE43" s="95">
        <f t="shared" si="32"/>
        <v>0</v>
      </c>
      <c r="AF43" s="95">
        <f t="shared" si="33"/>
        <v>0</v>
      </c>
      <c r="AG43" s="95">
        <f t="shared" si="34"/>
        <v>0</v>
      </c>
      <c r="AH43" s="65"/>
      <c r="AI43" s="95">
        <f>IF(ISNUMBER(G43),G43,0)</f>
        <v>0</v>
      </c>
      <c r="AJ43" s="95">
        <f t="shared" si="36"/>
        <v>0</v>
      </c>
      <c r="AK43" s="95">
        <f t="shared" si="37"/>
        <v>0</v>
      </c>
      <c r="AL43" s="65"/>
      <c r="AM43" s="96">
        <f t="shared" si="39"/>
        <v>1</v>
      </c>
      <c r="AN43" s="96">
        <f t="shared" si="39"/>
        <v>0</v>
      </c>
      <c r="AO43" s="96">
        <f t="shared" si="39"/>
        <v>0</v>
      </c>
      <c r="AP43" s="65">
        <f t="shared" si="38"/>
        <v>0</v>
      </c>
      <c r="AQ43" s="65"/>
      <c r="AR43" s="65"/>
      <c r="AS43" s="66"/>
      <c r="AT43" s="95">
        <f>IF(ISNUMBER(H43),H43*F43*Z43/1000*Balance!$H$13/J43,0)</f>
        <v>0</v>
      </c>
      <c r="AU43" s="95">
        <f>IF(ISTEXT(K43),IF(ISNUMBER(O43),O43*M43*Z43/1000*Balance!$H$13/Q43,0),AT43)</f>
        <v>0</v>
      </c>
      <c r="AV43" s="95">
        <f>IF(ISTEXT(R43),IF(ISNUMBER(V43),V43*T43*Z43/1000*Balance!$H$13/X43,0),AT43)</f>
        <v>0</v>
      </c>
      <c r="AW43" s="66"/>
      <c r="AX43" s="95">
        <f>AT43*AX35</f>
        <v>0</v>
      </c>
      <c r="AY43" s="95">
        <f>AU43*AY35</f>
        <v>0</v>
      </c>
      <c r="AZ43" s="95">
        <f>AV43*AZ35</f>
        <v>0</v>
      </c>
      <c r="BA43" s="95">
        <f t="shared" si="40"/>
        <v>0</v>
      </c>
      <c r="BB43" s="66"/>
      <c r="BC43" s="95">
        <f>IF(ISNUMBER(I43),I43*F43*Z43/1000*Balance!$H$13/J43,0)</f>
        <v>0</v>
      </c>
      <c r="BD43" s="95">
        <f>IF(ISTEXT(K43),IF(ISNUMBER(P43),P43*M43*Z43/1000*Balance!$H$13/Q43,0),BC43)</f>
        <v>0</v>
      </c>
      <c r="BE43" s="95">
        <f>IF(ISTEXT(R43),IF(ISNUMBER(W43),W43*T43*Z43/1000*Balance!$H$13/X43,0),BC43)</f>
        <v>0</v>
      </c>
      <c r="BF43" s="66"/>
      <c r="BG43" s="95">
        <f>BC43*BG35</f>
        <v>0</v>
      </c>
      <c r="BH43" s="95">
        <f>BD43*BH35</f>
        <v>0</v>
      </c>
      <c r="BI43" s="95">
        <f>BE43*BI35</f>
        <v>0</v>
      </c>
      <c r="BJ43" s="95">
        <f t="shared" si="41"/>
        <v>0</v>
      </c>
      <c r="BK43" s="66"/>
      <c r="BL43" s="66"/>
      <c r="BM43" s="361" t="str">
        <f>'Material editor'!C47</f>
        <v>105-;  kg/m³;  W/(mK);  years</v>
      </c>
    </row>
    <row r="44" spans="1:65" outlineLevel="1" x14ac:dyDescent="0.25">
      <c r="A44" s="61"/>
      <c r="B44" s="272"/>
      <c r="C44" s="91"/>
      <c r="D44" s="423"/>
      <c r="E44" s="424"/>
      <c r="F44" s="94"/>
      <c r="G44" s="136" t="str">
        <f>IF(ISNUMBER(VLOOKUP(LEFT(D44,3),'Material editor'!$D$11:$H$110,'Material editor'!$E$8,0)),VLOOKUP(LEFT(D44,3),'Material editor'!$D$11:$H$110,'Material editor'!$E$8,0),"")</f>
        <v/>
      </c>
      <c r="H44" s="137" t="str">
        <f>IF(ISNUMBER(VLOOKUP(LEFT(D44,3),'Material editor'!$D$11:$H$110,'Material editor'!$F$8,0)),VLOOKUP(LEFT(D44,3),'Material editor'!$D$11:$H$110,'Material editor'!$F$8,0),"")</f>
        <v/>
      </c>
      <c r="I44" s="137" t="str">
        <f>IF(ISNUMBER(VLOOKUP(LEFT(D44,3),'Material editor'!$D$11:$H$110,'Material editor'!$G$8,0)),VLOOKUP(LEFT(D44,3),'Material editor'!$D$11:$H$110,'Material editor'!$G$8,0),"")</f>
        <v/>
      </c>
      <c r="J44" s="137" t="str">
        <f>IF(ISNUMBER(VLOOKUP(LEFT(D44,3),'Material editor'!$D$11:$H$110,'Material editor'!$H$8,0)),VLOOKUP(LEFT(D44,3),'Material editor'!$D$11:$H$110,'Material editor'!$H$8,0),"")</f>
        <v/>
      </c>
      <c r="K44" s="418"/>
      <c r="L44" s="407"/>
      <c r="M44" s="94"/>
      <c r="N44" s="136" t="str">
        <f>IF(ISNUMBER(VLOOKUP(LEFT(K44,3),'Material editor'!$D$11:$H$110,'Material editor'!$E$8,0)),VLOOKUP(LEFT(K44,3),'Material editor'!$D$11:$H$110,'Material editor'!$E$8,0),"")</f>
        <v/>
      </c>
      <c r="O44" s="137" t="str">
        <f>IF(ISNUMBER(VLOOKUP(LEFT(K44,3),'Material editor'!$D$11:$H$110,'Material editor'!$F$8,0)),VLOOKUP(LEFT(K44,3),'Material editor'!$D$11:$H$110,'Material editor'!$F$8,0),"")</f>
        <v/>
      </c>
      <c r="P44" s="137" t="str">
        <f>IF(ISNUMBER(VLOOKUP(LEFT(K44,3),'Material editor'!$D$11:$H$110,'Material editor'!$G$8,0)),VLOOKUP(LEFT(K44,3),'Material editor'!$D$11:$H$110,'Material editor'!$G$8,0),"")</f>
        <v/>
      </c>
      <c r="Q44" s="137" t="str">
        <f>IF(ISNUMBER(VLOOKUP(LEFT(K44,3),'Material editor'!$D$11:$H$110,'Material editor'!$H$8,0)),VLOOKUP(LEFT(K44,3),'Material editor'!$D$11:$H$110,'Material editor'!$H$8,0),"")</f>
        <v/>
      </c>
      <c r="R44" s="418"/>
      <c r="S44" s="407"/>
      <c r="T44" s="94"/>
      <c r="U44" s="136" t="str">
        <f>IF(ISNUMBER(VLOOKUP(LEFT(R44,3),'Material editor'!$D$11:$H$110,'Material editor'!$E$8,0)),VLOOKUP(LEFT(R44,3),'Material editor'!$D$11:$H$110,'Material editor'!$E$8,0),"")</f>
        <v/>
      </c>
      <c r="V44" s="137" t="str">
        <f>IF(ISNUMBER(VLOOKUP(LEFT(R44,3),'Material editor'!$D$11:$H$110,'Material editor'!$F$8,0)),VLOOKUP(LEFT(R44,3),'Material editor'!$D$11:$H$110,'Material editor'!$F$8,0),"")</f>
        <v/>
      </c>
      <c r="W44" s="137" t="str">
        <f>IF(ISNUMBER(VLOOKUP(LEFT(R44,3),'Material editor'!$D$11:$H$110,'Material editor'!$G$8,0)),VLOOKUP(LEFT(R44,3),'Material editor'!$D$11:$H$110,'Material editor'!$G$8,0),"")</f>
        <v/>
      </c>
      <c r="X44" s="137" t="str">
        <f>IF(ISNUMBER(VLOOKUP(LEFT(R44,3),'Material editor'!$D$11:$H$110,'Material editor'!$H$8,0)),VLOOKUP(LEFT(R44,3),'Material editor'!$D$11:$H$110,'Material editor'!$H$8,0),"")</f>
        <v/>
      </c>
      <c r="Y44" s="74"/>
      <c r="Z44" s="94"/>
      <c r="AA44" s="8"/>
      <c r="AB44" s="61"/>
      <c r="AC44" s="65"/>
      <c r="AD44" s="65"/>
      <c r="AE44" s="95">
        <f t="shared" si="32"/>
        <v>0</v>
      </c>
      <c r="AF44" s="95">
        <f t="shared" si="33"/>
        <v>0</v>
      </c>
      <c r="AG44" s="95">
        <f t="shared" si="34"/>
        <v>0</v>
      </c>
      <c r="AH44" s="65"/>
      <c r="AI44" s="95">
        <f>IF(ISNUMBER(G44),G44,0)</f>
        <v>0</v>
      </c>
      <c r="AJ44" s="95">
        <f t="shared" si="36"/>
        <v>0</v>
      </c>
      <c r="AK44" s="95">
        <f t="shared" si="37"/>
        <v>0</v>
      </c>
      <c r="AL44" s="65"/>
      <c r="AM44" s="96">
        <f t="shared" si="39"/>
        <v>1</v>
      </c>
      <c r="AN44" s="96">
        <f t="shared" si="39"/>
        <v>0</v>
      </c>
      <c r="AO44" s="96">
        <f t="shared" si="39"/>
        <v>0</v>
      </c>
      <c r="AP44" s="65">
        <f t="shared" si="38"/>
        <v>0</v>
      </c>
      <c r="AQ44" s="65"/>
      <c r="AR44" s="65"/>
      <c r="AS44" s="66"/>
      <c r="AT44" s="95">
        <f>IF(ISNUMBER(H44),H44*F44*Z44/1000*Balance!$H$13/J44,0)</f>
        <v>0</v>
      </c>
      <c r="AU44" s="95">
        <f>IF(ISTEXT(K44),IF(ISNUMBER(O44),O44*M44*Z44/1000*Balance!$H$13/Q44,0),AT44)</f>
        <v>0</v>
      </c>
      <c r="AV44" s="95">
        <f>IF(ISTEXT(R44),IF(ISNUMBER(V44),V44*T44*Z44/1000*Balance!$H$13/X44,0),AT44)</f>
        <v>0</v>
      </c>
      <c r="AW44" s="66"/>
      <c r="AX44" s="95">
        <f>AT44*AX35</f>
        <v>0</v>
      </c>
      <c r="AY44" s="95">
        <f>AU44*AY35</f>
        <v>0</v>
      </c>
      <c r="AZ44" s="95">
        <f>AV44*AZ35</f>
        <v>0</v>
      </c>
      <c r="BA44" s="95">
        <f t="shared" si="40"/>
        <v>0</v>
      </c>
      <c r="BB44" s="66"/>
      <c r="BC44" s="95">
        <f>IF(ISNUMBER(I44),I44*F44*Z44/1000*Balance!$H$13/J44,0)</f>
        <v>0</v>
      </c>
      <c r="BD44" s="95">
        <f>IF(ISTEXT(K44),IF(ISNUMBER(P44),P44*M44*Z44/1000*Balance!$H$13/Q44,0),BC44)</f>
        <v>0</v>
      </c>
      <c r="BE44" s="95">
        <f>IF(ISTEXT(R44),IF(ISNUMBER(W44),W44*T44*Z44/1000*Balance!$H$13/X44,0),BC44)</f>
        <v>0</v>
      </c>
      <c r="BF44" s="66"/>
      <c r="BG44" s="95">
        <f>BC44*BG35</f>
        <v>0</v>
      </c>
      <c r="BH44" s="95">
        <f>BD44*BH35</f>
        <v>0</v>
      </c>
      <c r="BI44" s="95">
        <f>BE44*BI35</f>
        <v>0</v>
      </c>
      <c r="BJ44" s="95">
        <f t="shared" si="41"/>
        <v>0</v>
      </c>
      <c r="BK44" s="66"/>
      <c r="BL44" s="66"/>
      <c r="BM44" s="361" t="str">
        <f>'Material editor'!C48</f>
        <v>106-;  kg/m³;  W/(mK);  years</v>
      </c>
    </row>
    <row r="45" spans="1:65" outlineLevel="1" x14ac:dyDescent="0.25">
      <c r="A45" s="61"/>
      <c r="B45" s="272"/>
      <c r="C45" s="77"/>
      <c r="D45" s="359">
        <f>MAX(0,1-K45-R45)</f>
        <v>1</v>
      </c>
      <c r="E45" s="126" t="s">
        <v>141</v>
      </c>
      <c r="F45" s="126"/>
      <c r="H45" s="97"/>
      <c r="I45" s="97"/>
      <c r="J45" s="97"/>
      <c r="K45" s="100"/>
      <c r="L45" s="126" t="s">
        <v>138</v>
      </c>
      <c r="M45" s="126"/>
      <c r="R45" s="100"/>
      <c r="S45" s="126" t="s">
        <v>139</v>
      </c>
      <c r="T45" s="126"/>
      <c r="V45" s="67"/>
      <c r="Y45" s="74"/>
      <c r="Z45" s="5" t="s">
        <v>140</v>
      </c>
      <c r="AA45" s="8"/>
      <c r="AB45" s="61"/>
      <c r="AC45" s="98"/>
      <c r="AD45" s="98" t="s">
        <v>124</v>
      </c>
      <c r="AE45" s="99">
        <f>IF(ISNUMBER($G37),1/($D32+SUM(AE37:AE44)+$D33),0)</f>
        <v>0.11782776106213312</v>
      </c>
      <c r="AF45" s="99">
        <f>IF(ISNUMBER($G37),1/($D32+SUM(AF37:AF44)+$D33),0)</f>
        <v>0.11782776106213312</v>
      </c>
      <c r="AG45" s="99">
        <f>IF(ISNUMBER($G37),1/($D32+SUM(AG37:AG44)+$D33),0)</f>
        <v>0.11782776106213312</v>
      </c>
      <c r="AH45" s="65"/>
      <c r="AI45" s="65"/>
      <c r="AJ45" s="65"/>
      <c r="AK45" s="65"/>
      <c r="AL45" s="65"/>
      <c r="AM45" s="65"/>
      <c r="AN45" s="65"/>
      <c r="AO45" s="65"/>
      <c r="AP45" s="65"/>
      <c r="AQ45" s="65"/>
      <c r="AR45" s="65"/>
      <c r="AS45" s="66"/>
      <c r="AT45" s="66"/>
      <c r="AU45" s="66"/>
      <c r="AV45" s="66"/>
      <c r="AW45" s="66"/>
      <c r="AX45" s="66"/>
      <c r="AY45" s="66"/>
      <c r="AZ45" s="66"/>
      <c r="BA45" s="66"/>
      <c r="BB45" s="66"/>
      <c r="BC45" s="66"/>
      <c r="BD45" s="66"/>
      <c r="BE45" s="66"/>
      <c r="BF45" s="66"/>
      <c r="BG45" s="66"/>
      <c r="BH45" s="66"/>
      <c r="BI45" s="66"/>
      <c r="BJ45" s="66"/>
      <c r="BK45" s="66"/>
      <c r="BL45" s="66"/>
      <c r="BM45" s="361" t="str">
        <f>'Material editor'!C49</f>
        <v>107-;  kg/m³;  W/(mK);  years</v>
      </c>
    </row>
    <row r="46" spans="1:65" outlineLevel="1" x14ac:dyDescent="0.25">
      <c r="A46" s="61"/>
      <c r="B46" s="272"/>
      <c r="C46" s="77"/>
      <c r="D46" s="41"/>
      <c r="E46" s="116" t="s">
        <v>150</v>
      </c>
      <c r="F46" s="116"/>
      <c r="H46" s="68"/>
      <c r="I46" s="68"/>
      <c r="J46" s="68"/>
      <c r="K46" s="157" t="str">
        <f>IF(AE52&lt;=0.1,"","Der Fehler der U-Wert-Berechnung liegt möglicherweise über 10 %. Wärmebrückenberechnung?")</f>
        <v/>
      </c>
      <c r="L46" s="68"/>
      <c r="M46" s="68"/>
      <c r="N46" s="68"/>
      <c r="R46" s="5"/>
      <c r="S46" s="5"/>
      <c r="T46" s="5"/>
      <c r="U46" s="68"/>
      <c r="V46" s="68"/>
      <c r="X46" s="68"/>
      <c r="Y46" s="5"/>
      <c r="Z46" s="189">
        <f>IF(ISNUMBER(Z37),SUM(Z37:Z45)/10,"")</f>
        <v>42.5</v>
      </c>
      <c r="AA46" s="10" t="s">
        <v>8</v>
      </c>
      <c r="AB46" s="61"/>
      <c r="AC46" s="98"/>
      <c r="AD46" s="98" t="s">
        <v>125</v>
      </c>
      <c r="AE46" s="101">
        <f>1-SUM(AF46:AG46)</f>
        <v>1</v>
      </c>
      <c r="AF46" s="102">
        <f>K45</f>
        <v>0</v>
      </c>
      <c r="AG46" s="102">
        <f>R45</f>
        <v>0</v>
      </c>
      <c r="AH46" s="98"/>
      <c r="AI46" s="65"/>
      <c r="AJ46" s="65"/>
      <c r="AK46" s="65"/>
      <c r="AL46" s="65"/>
      <c r="AM46" s="65"/>
      <c r="AN46" s="65"/>
      <c r="AO46" s="65"/>
      <c r="AP46" s="65"/>
      <c r="AQ46" s="65"/>
      <c r="AR46" s="65" t="s">
        <v>393</v>
      </c>
      <c r="AS46" s="148"/>
      <c r="AT46" s="175" t="s">
        <v>393</v>
      </c>
      <c r="AU46" s="65" t="s">
        <v>366</v>
      </c>
      <c r="AV46" s="65" t="s">
        <v>355</v>
      </c>
      <c r="AW46" s="66"/>
      <c r="AX46" s="65" t="s">
        <v>394</v>
      </c>
      <c r="AY46" s="65" t="s">
        <v>356</v>
      </c>
      <c r="AZ46" s="66"/>
      <c r="BA46" s="66"/>
      <c r="BB46" s="66"/>
      <c r="BC46" s="66"/>
      <c r="BD46" s="66"/>
      <c r="BE46" s="66"/>
      <c r="BF46" s="66"/>
      <c r="BG46" s="66"/>
      <c r="BH46" s="66"/>
      <c r="BI46" s="66"/>
      <c r="BJ46" s="66"/>
      <c r="BK46" s="66"/>
      <c r="BL46" s="66"/>
      <c r="BM46" s="361" t="str">
        <f>'Material editor'!C50</f>
        <v>108-;  kg/m³;  W/(mK);  years</v>
      </c>
    </row>
    <row r="47" spans="1:65" outlineLevel="1" x14ac:dyDescent="0.25">
      <c r="A47" s="61"/>
      <c r="B47" s="272"/>
      <c r="C47" s="77"/>
      <c r="D47" s="68"/>
      <c r="E47" s="68"/>
      <c r="F47" s="68"/>
      <c r="G47" s="68"/>
      <c r="H47" s="68"/>
      <c r="I47" s="68"/>
      <c r="J47" s="68"/>
      <c r="K47" s="68"/>
      <c r="L47" s="68"/>
      <c r="M47" s="68"/>
      <c r="N47" s="68"/>
      <c r="O47" s="68"/>
      <c r="P47" s="68"/>
      <c r="Q47" s="68"/>
      <c r="R47" s="68"/>
      <c r="T47" s="68"/>
      <c r="U47" s="68"/>
      <c r="V47" s="68"/>
      <c r="W47" s="68"/>
      <c r="X47" s="68"/>
      <c r="Y47" s="5"/>
      <c r="Z47" s="67"/>
      <c r="AA47" s="8"/>
      <c r="AB47" s="61"/>
      <c r="AC47" s="101"/>
      <c r="AD47" s="101"/>
      <c r="AE47" s="99"/>
      <c r="AF47" s="99"/>
      <c r="AG47" s="99"/>
      <c r="AH47" s="65"/>
      <c r="AI47" s="65"/>
      <c r="AJ47" s="65"/>
      <c r="AK47" s="65"/>
      <c r="AL47" s="65"/>
      <c r="AM47" s="65"/>
      <c r="AN47" s="65"/>
      <c r="AO47" s="65"/>
      <c r="AP47" s="65"/>
      <c r="AQ47" s="65"/>
      <c r="AR47" s="65"/>
      <c r="AS47" s="65"/>
      <c r="AT47" s="101" t="s">
        <v>367</v>
      </c>
      <c r="AU47" s="176">
        <f>Z48*F32*Balance!$H$6</f>
        <v>5.5850358743451096</v>
      </c>
      <c r="AV47" s="176">
        <f>AU47*Balance!$H$13</f>
        <v>111.70071748690219</v>
      </c>
      <c r="AW47" s="66"/>
      <c r="AX47" s="66"/>
      <c r="AY47" s="66"/>
      <c r="AZ47" s="66"/>
      <c r="BA47" s="101" t="s">
        <v>351</v>
      </c>
      <c r="BB47" s="66"/>
      <c r="BC47" s="66"/>
      <c r="BD47" s="66"/>
      <c r="BE47" s="66"/>
      <c r="BF47" s="66"/>
      <c r="BG47" s="66"/>
      <c r="BH47" s="66"/>
      <c r="BI47" s="66"/>
      <c r="BJ47" s="66"/>
      <c r="BK47" s="66"/>
      <c r="BL47" s="66"/>
      <c r="BM47" s="361" t="str">
        <f>'Material editor'!C51</f>
        <v>109-;  kg/m³;  W/(mK);  years</v>
      </c>
    </row>
    <row r="48" spans="1:65" ht="18" outlineLevel="1" x14ac:dyDescent="0.35">
      <c r="A48" s="61"/>
      <c r="B48" s="272"/>
      <c r="C48" s="77"/>
      <c r="H48" s="68"/>
      <c r="I48" s="68"/>
      <c r="J48" s="67"/>
      <c r="K48" s="192" t="s">
        <v>397</v>
      </c>
      <c r="L48" s="67"/>
      <c r="M48" s="67"/>
      <c r="N48" s="67"/>
      <c r="O48" s="67"/>
      <c r="P48" s="67"/>
      <c r="Q48" s="67"/>
      <c r="R48" s="14" t="s">
        <v>398</v>
      </c>
      <c r="U48" s="68"/>
      <c r="V48" s="68"/>
      <c r="W48" s="68"/>
      <c r="X48" s="68"/>
      <c r="Y48" s="127" t="s">
        <v>154</v>
      </c>
      <c r="Z48" s="193">
        <f>IF(ISNUMBER(G37),IF(AE52&lt;0.1,1/AE48,1/(AP48*1.1))+D46,"")</f>
        <v>0.11782776106213312</v>
      </c>
      <c r="AA48" s="8" t="s">
        <v>10</v>
      </c>
      <c r="AB48" s="61"/>
      <c r="AC48" s="101"/>
      <c r="AD48" s="101" t="s">
        <v>126</v>
      </c>
      <c r="AE48" s="95">
        <f>IF(ISNUMBER(G37),AVERAGE(AG48,AP48),0)</f>
        <v>8.4869642857142846</v>
      </c>
      <c r="AF48" s="101" t="s">
        <v>127</v>
      </c>
      <c r="AG48" s="95">
        <f>IF(ISNUMBER(G37),1/SUMPRODUCT(AE46:AG46,AE45:AG45),0)</f>
        <v>8.4869642857142846</v>
      </c>
      <c r="AH48" s="65"/>
      <c r="AI48" s="65"/>
      <c r="AJ48" s="65"/>
      <c r="AK48" s="65"/>
      <c r="AL48" s="103"/>
      <c r="AM48" s="65"/>
      <c r="AN48" s="65"/>
      <c r="AO48" s="101" t="s">
        <v>128</v>
      </c>
      <c r="AP48" s="95">
        <f>$D32+SUM(AP37:AP44)+$D33</f>
        <v>8.4869642857142846</v>
      </c>
      <c r="AQ48" s="65"/>
      <c r="AR48" s="65"/>
      <c r="AS48" s="152" t="str">
        <f>Data!$D$4</f>
        <v>Heat pump</v>
      </c>
      <c r="AT48" s="177" t="s">
        <v>374</v>
      </c>
      <c r="AU48" s="179">
        <f>AU47/(Balance!$H$17*Balance!$H$18*Balance!$H$19)*Balance!$H$22</f>
        <v>3.7233572495634064</v>
      </c>
      <c r="AV48" s="176">
        <f>AU48*Balance!$H$13</f>
        <v>74.467144991268128</v>
      </c>
      <c r="AW48" s="66"/>
      <c r="AX48" s="186">
        <f ca="1">AU47/(Balance!$H$17*Balance!$H$18*Balance!$H$19)*Balance!$G$22/1000</f>
        <v>0.70330081380642118</v>
      </c>
      <c r="AY48" s="176">
        <f ca="1">AX48*Balance!$H$13</f>
        <v>14.066016276128423</v>
      </c>
      <c r="AZ48" s="101"/>
      <c r="BA48" s="95">
        <f>SUM(BA37:BA44)</f>
        <v>72.784070059216987</v>
      </c>
      <c r="BB48" s="66" t="s">
        <v>355</v>
      </c>
      <c r="BC48" s="66"/>
      <c r="BD48" s="66"/>
      <c r="BE48" s="66"/>
      <c r="BF48" s="66"/>
      <c r="BG48" s="66"/>
      <c r="BH48" s="66"/>
      <c r="BI48" s="101" t="s">
        <v>149</v>
      </c>
      <c r="BJ48" s="95">
        <f>SUM(BJ37:BJ44)</f>
        <v>25.456612765542957</v>
      </c>
      <c r="BK48" s="66" t="s">
        <v>357</v>
      </c>
      <c r="BL48" s="66"/>
      <c r="BM48" s="361" t="str">
        <f>'Material editor'!C52</f>
        <v>110-;  kg/m³;  W/(mK);  years</v>
      </c>
    </row>
    <row r="49" spans="1:65" ht="15.75" outlineLevel="1" x14ac:dyDescent="0.25">
      <c r="A49" s="61"/>
      <c r="B49" s="272"/>
      <c r="C49" s="77"/>
      <c r="D49" s="155"/>
      <c r="E49" s="188" t="s">
        <v>395</v>
      </c>
      <c r="F49" s="116"/>
      <c r="H49" s="68"/>
      <c r="I49" s="68"/>
      <c r="J49" s="67"/>
      <c r="K49" s="190">
        <f>BA48</f>
        <v>72.784070059216987</v>
      </c>
      <c r="L49" s="128" t="s">
        <v>400</v>
      </c>
      <c r="M49" s="67"/>
      <c r="N49" s="67"/>
      <c r="O49" s="67"/>
      <c r="P49" s="67"/>
      <c r="Q49" s="67"/>
      <c r="R49" s="190">
        <f>BJ48</f>
        <v>25.456612765542957</v>
      </c>
      <c r="S49" s="128" t="s">
        <v>399</v>
      </c>
      <c r="U49" s="68"/>
      <c r="V49" s="68"/>
      <c r="W49" s="68"/>
      <c r="X49" s="68"/>
      <c r="Y49" s="67"/>
      <c r="Z49" s="67"/>
      <c r="AA49" s="8"/>
      <c r="AB49" s="61"/>
      <c r="AC49" s="101"/>
      <c r="AD49" s="101"/>
      <c r="AE49" s="154"/>
      <c r="AF49" s="101"/>
      <c r="AG49" s="154"/>
      <c r="AH49" s="65"/>
      <c r="AI49" s="65"/>
      <c r="AJ49" s="65"/>
      <c r="AK49" s="65"/>
      <c r="AL49" s="103"/>
      <c r="AM49" s="65"/>
      <c r="AN49" s="65"/>
      <c r="AO49" s="101"/>
      <c r="AP49" s="154"/>
      <c r="AQ49" s="65"/>
      <c r="AR49" s="65"/>
      <c r="AS49" s="152" t="str">
        <f>Data!$D$5</f>
        <v>Direct electric</v>
      </c>
      <c r="AT49" s="177" t="s">
        <v>374</v>
      </c>
      <c r="AU49" s="179">
        <f>AU47/Balance!$H$18*Balance!$H$22</f>
        <v>10.053064573821198</v>
      </c>
      <c r="AV49" s="176">
        <f>AU49*Balance!$H$13</f>
        <v>201.06129147642395</v>
      </c>
      <c r="AW49" s="66"/>
      <c r="AX49" s="186">
        <f ca="1">AU47/Balance!$H$18*Balance!$G$22/1000</f>
        <v>1.8989121972773373</v>
      </c>
      <c r="AY49" s="176">
        <f ca="1">AX49*Balance!$H$13</f>
        <v>37.978243945546744</v>
      </c>
      <c r="AZ49" s="101"/>
      <c r="BA49" s="154"/>
      <c r="BB49" s="66"/>
      <c r="BC49" s="66"/>
      <c r="BD49" s="66"/>
      <c r="BE49" s="66"/>
      <c r="BF49" s="66"/>
      <c r="BG49" s="66"/>
      <c r="BH49" s="66"/>
      <c r="BI49" s="101"/>
      <c r="BJ49" s="154"/>
      <c r="BK49" s="66"/>
      <c r="BL49" s="66"/>
      <c r="BM49" s="361" t="str">
        <f>'Material editor'!C53</f>
        <v>111-;  kg/m³;  W/(mK);  years</v>
      </c>
    </row>
    <row r="50" spans="1:65" ht="15.75" outlineLevel="1" x14ac:dyDescent="0.25">
      <c r="A50" s="61"/>
      <c r="B50" s="272"/>
      <c r="C50" s="77"/>
      <c r="D50" s="155"/>
      <c r="E50" s="188" t="s">
        <v>396</v>
      </c>
      <c r="F50" s="116"/>
      <c r="H50" s="68"/>
      <c r="I50" s="68"/>
      <c r="J50" s="67"/>
      <c r="K50" s="190">
        <f>AV52</f>
        <v>74.467144991268128</v>
      </c>
      <c r="L50" s="128" t="s">
        <v>401</v>
      </c>
      <c r="M50" s="67"/>
      <c r="N50" s="67"/>
      <c r="O50" s="67"/>
      <c r="P50" s="67"/>
      <c r="Q50" s="67"/>
      <c r="R50" s="190">
        <f ca="1">AY52</f>
        <v>14.066016276128423</v>
      </c>
      <c r="S50" s="128" t="s">
        <v>358</v>
      </c>
      <c r="U50" s="68"/>
      <c r="V50" s="68"/>
      <c r="W50" s="68"/>
      <c r="X50" s="68"/>
      <c r="Y50" s="67"/>
      <c r="Z50" s="67"/>
      <c r="AA50" s="8"/>
      <c r="AB50" s="61"/>
      <c r="AC50" s="101"/>
      <c r="AD50" s="101"/>
      <c r="AE50" s="154"/>
      <c r="AF50" s="101"/>
      <c r="AG50" s="154"/>
      <c r="AH50" s="65"/>
      <c r="AI50" s="65"/>
      <c r="AJ50" s="65"/>
      <c r="AK50" s="65"/>
      <c r="AL50" s="103"/>
      <c r="AM50" s="65"/>
      <c r="AN50" s="65"/>
      <c r="AO50" s="101"/>
      <c r="AP50" s="154"/>
      <c r="AQ50" s="65"/>
      <c r="AR50" s="65"/>
      <c r="AS50" s="152" t="str">
        <f>Data!$D$6</f>
        <v>Gas boiler</v>
      </c>
      <c r="AT50" s="177" t="s">
        <v>374</v>
      </c>
      <c r="AU50" s="179">
        <f>AU47/(Balance!$H$18*Balance!$H$19)*Balance!H$23</f>
        <v>10.859791977893268</v>
      </c>
      <c r="AV50" s="176">
        <f>AU50*Balance!$H$13</f>
        <v>217.19583955786536</v>
      </c>
      <c r="AW50" s="66"/>
      <c r="AX50" s="186">
        <f ca="1">AU47/(Balance!$H$18*Balance!$H$19)*Balance!$G$23/1000</f>
        <v>1.5477050471895502</v>
      </c>
      <c r="AY50" s="176">
        <f ca="1">AX50*Balance!$H$13</f>
        <v>30.954100943791005</v>
      </c>
      <c r="AZ50" s="101"/>
      <c r="BA50" s="154"/>
      <c r="BB50" s="66"/>
      <c r="BC50" s="66"/>
      <c r="BD50" s="66"/>
      <c r="BE50" s="66"/>
      <c r="BF50" s="66"/>
      <c r="BG50" s="66"/>
      <c r="BH50" s="66"/>
      <c r="BI50" s="101"/>
      <c r="BJ50" s="154"/>
      <c r="BK50" s="66"/>
      <c r="BL50" s="66"/>
      <c r="BM50" s="361" t="str">
        <f>'Material editor'!C54</f>
        <v>112-Gypsum plaster board (impregnated, 12.5 mm);  kg/m³; 0.25 W/(mK); 40 years</v>
      </c>
    </row>
    <row r="51" spans="1:65" ht="15.75" outlineLevel="1" x14ac:dyDescent="0.25">
      <c r="A51" s="61"/>
      <c r="B51" s="272"/>
      <c r="C51" s="77"/>
      <c r="D51" s="155"/>
      <c r="E51" s="188" t="s">
        <v>352</v>
      </c>
      <c r="F51" s="116"/>
      <c r="H51" s="68"/>
      <c r="I51" s="68"/>
      <c r="J51" s="67"/>
      <c r="K51" s="191">
        <f>K50+K49</f>
        <v>147.25121505048511</v>
      </c>
      <c r="L51" s="128" t="s">
        <v>355</v>
      </c>
      <c r="M51" s="67"/>
      <c r="N51" s="67"/>
      <c r="O51" s="67"/>
      <c r="P51" s="67"/>
      <c r="Q51" s="67"/>
      <c r="R51" s="191">
        <f ca="1">R50+R49</f>
        <v>39.522629041671379</v>
      </c>
      <c r="S51" s="128" t="s">
        <v>358</v>
      </c>
      <c r="T51" s="153"/>
      <c r="U51" s="68"/>
      <c r="V51" s="68"/>
      <c r="W51" s="68"/>
      <c r="X51" s="68"/>
      <c r="Y51" s="67"/>
      <c r="Z51" s="67"/>
      <c r="AA51" s="8"/>
      <c r="AB51" s="61"/>
      <c r="AC51" s="101"/>
      <c r="AD51" s="101"/>
      <c r="AE51" s="154"/>
      <c r="AF51" s="101"/>
      <c r="AG51" s="154"/>
      <c r="AH51" s="65"/>
      <c r="AI51" s="65"/>
      <c r="AJ51" s="65"/>
      <c r="AK51" s="65"/>
      <c r="AL51" s="103"/>
      <c r="AM51" s="65"/>
      <c r="AN51" s="65"/>
      <c r="AO51" s="101"/>
      <c r="AP51" s="154"/>
      <c r="AQ51" s="65"/>
      <c r="AR51" s="65"/>
      <c r="AS51" s="152" t="str">
        <f>Data!$D$7</f>
        <v>Biomass</v>
      </c>
      <c r="AT51" s="177" t="s">
        <v>374</v>
      </c>
      <c r="AU51" s="179">
        <f>AU47/(Balance!$H$18*Balance!$H$19)*Balance!$H$24</f>
        <v>6.8261549575329115</v>
      </c>
      <c r="AV51" s="176">
        <f>AU51*Balance!$H$13</f>
        <v>136.52309915065823</v>
      </c>
      <c r="AW51" s="66"/>
      <c r="AX51" s="186">
        <f ca="1">AU47/(Balance!$H$18*Balance!$H$19)*Balance!$G$24/1000</f>
        <v>0.13186890258870398</v>
      </c>
      <c r="AY51" s="176">
        <f ca="1">AX51*Balance!$H$13</f>
        <v>2.6373780517740797</v>
      </c>
      <c r="AZ51" s="101"/>
      <c r="BA51" s="154"/>
      <c r="BB51" s="66"/>
      <c r="BC51" s="66"/>
      <c r="BD51" s="66"/>
      <c r="BE51" s="66"/>
      <c r="BF51" s="66"/>
      <c r="BG51" s="66"/>
      <c r="BH51" s="66"/>
      <c r="BI51" s="101"/>
      <c r="BJ51" s="154"/>
      <c r="BK51" s="66"/>
      <c r="BL51" s="66"/>
      <c r="BM51" s="361" t="str">
        <f>'Material editor'!C55</f>
        <v>113-;  kg/m³;  W/(mK);  years</v>
      </c>
    </row>
    <row r="52" spans="1:65" outlineLevel="1" x14ac:dyDescent="0.25">
      <c r="A52" s="61"/>
      <c r="B52" s="272"/>
      <c r="C52" s="104"/>
      <c r="D52" s="105"/>
      <c r="E52" s="106"/>
      <c r="F52" s="106"/>
      <c r="G52" s="106"/>
      <c r="H52" s="107"/>
      <c r="I52" s="107"/>
      <c r="J52" s="107"/>
      <c r="K52" s="106"/>
      <c r="L52" s="106"/>
      <c r="M52" s="106"/>
      <c r="N52" s="106"/>
      <c r="O52" s="106"/>
      <c r="P52" s="106"/>
      <c r="Q52" s="106"/>
      <c r="R52" s="106"/>
      <c r="S52" s="106"/>
      <c r="T52" s="106"/>
      <c r="U52" s="106"/>
      <c r="V52" s="106"/>
      <c r="W52" s="106"/>
      <c r="X52" s="106"/>
      <c r="Y52" s="106"/>
      <c r="Z52" s="108"/>
      <c r="AA52" s="109"/>
      <c r="AB52" s="61"/>
      <c r="AC52" s="101"/>
      <c r="AD52" s="101" t="s">
        <v>129</v>
      </c>
      <c r="AE52" s="110">
        <f>IF(ISNUMBER(G37),(AG48-AP48)/(2*AE48),0)</f>
        <v>0</v>
      </c>
      <c r="AF52" s="111"/>
      <c r="AG52" s="65"/>
      <c r="AH52" s="101"/>
      <c r="AI52" s="65"/>
      <c r="AJ52" s="65"/>
      <c r="AK52" s="65"/>
      <c r="AL52" s="65"/>
      <c r="AM52" s="65"/>
      <c r="AN52" s="65"/>
      <c r="AO52" s="65"/>
      <c r="AP52" s="66"/>
      <c r="AQ52" s="65"/>
      <c r="AR52" s="65"/>
      <c r="AS52" s="178" t="str">
        <f>Balance!$G$16</f>
        <v>Heat pump</v>
      </c>
      <c r="AT52" s="66"/>
      <c r="AU52" s="185">
        <f>VLOOKUP(AS52,AS48:AU51,3,0)</f>
        <v>3.7233572495634064</v>
      </c>
      <c r="AV52" s="185">
        <f>VLOOKUP(AS52,AS48:AV51,4,0)</f>
        <v>74.467144991268128</v>
      </c>
      <c r="AW52" s="185"/>
      <c r="AX52" s="187">
        <f ca="1">VLOOKUP(AS52,AS48:AX51,6,0)</f>
        <v>0.70330081380642118</v>
      </c>
      <c r="AY52" s="185">
        <f ca="1">VLOOKUP(AS52,AS48:AY51,7,0)</f>
        <v>14.066016276128423</v>
      </c>
      <c r="AZ52" s="66"/>
      <c r="BA52" s="66"/>
      <c r="BB52" s="66"/>
      <c r="BC52" s="66"/>
      <c r="BD52" s="66"/>
      <c r="BE52" s="66"/>
      <c r="BF52" s="66"/>
      <c r="BG52" s="66"/>
      <c r="BH52" s="66"/>
      <c r="BI52" s="66"/>
      <c r="BJ52" s="66"/>
      <c r="BK52" s="66"/>
      <c r="BL52" s="66"/>
      <c r="BM52" s="361" t="str">
        <f>'Material editor'!C56</f>
        <v>114-;  kg/m³;  W/(mK);  years</v>
      </c>
    </row>
    <row r="53" spans="1:65" outlineLevel="1" x14ac:dyDescent="0.25">
      <c r="B53" s="201"/>
      <c r="BM53" s="361" t="str">
        <f>'Material editor'!C57</f>
        <v>115-;  kg/m³;  W/(mK);  years</v>
      </c>
    </row>
    <row r="54" spans="1:65" outlineLevel="1" x14ac:dyDescent="0.25">
      <c r="A54" s="61"/>
      <c r="B54" s="272"/>
      <c r="C54" s="62"/>
      <c r="D54" s="114" t="s">
        <v>131</v>
      </c>
      <c r="E54" s="115" t="s">
        <v>132</v>
      </c>
      <c r="F54" s="115"/>
      <c r="G54" s="63"/>
      <c r="H54" s="63"/>
      <c r="I54" s="63"/>
      <c r="J54" s="63"/>
      <c r="K54" s="63"/>
      <c r="L54" s="63"/>
      <c r="M54" s="63"/>
      <c r="N54" s="63"/>
      <c r="O54" s="63"/>
      <c r="P54" s="63"/>
      <c r="Q54" s="63"/>
      <c r="R54" s="63"/>
      <c r="S54" s="63"/>
      <c r="T54" s="63"/>
      <c r="U54" s="63"/>
      <c r="V54" s="63"/>
      <c r="W54" s="63"/>
      <c r="X54" s="63"/>
      <c r="Y54" s="63"/>
      <c r="Z54" s="63"/>
      <c r="AA54" s="64"/>
      <c r="AB54" s="61"/>
      <c r="AC54" s="65" t="s">
        <v>402</v>
      </c>
      <c r="AD54" s="65"/>
      <c r="AE54" s="65"/>
      <c r="AF54" s="65"/>
      <c r="AG54" s="65"/>
      <c r="AH54" s="65"/>
      <c r="AI54" s="65"/>
      <c r="AJ54" s="65"/>
      <c r="AK54" s="65"/>
      <c r="AL54" s="65"/>
      <c r="AM54" s="65"/>
      <c r="AN54" s="65"/>
      <c r="AO54" s="65"/>
      <c r="AP54" s="65"/>
      <c r="AQ54" s="66"/>
      <c r="AR54" s="65" t="s">
        <v>405</v>
      </c>
      <c r="AS54" s="65"/>
      <c r="AT54" s="65"/>
      <c r="AU54" s="65"/>
      <c r="AV54" s="65"/>
      <c r="AW54" s="65"/>
      <c r="AX54" s="65"/>
      <c r="AY54" s="65"/>
      <c r="AZ54" s="65"/>
      <c r="BA54" s="65"/>
      <c r="BB54" s="65" t="s">
        <v>403</v>
      </c>
      <c r="BC54" s="65"/>
      <c r="BD54" s="65"/>
      <c r="BE54" s="65"/>
      <c r="BF54" s="65"/>
      <c r="BG54" s="65"/>
      <c r="BH54" s="65"/>
      <c r="BI54" s="65"/>
      <c r="BJ54" s="65"/>
      <c r="BK54" s="65"/>
      <c r="BL54" s="65"/>
      <c r="BM54" s="361" t="str">
        <f>'Material editor'!C58</f>
        <v>116-;  kg/m³;  W/(mK);  years</v>
      </c>
    </row>
    <row r="55" spans="1:65" ht="15.75" x14ac:dyDescent="0.25">
      <c r="A55" s="61"/>
      <c r="B55" s="272"/>
      <c r="C55" s="69"/>
      <c r="D55" s="70">
        <v>2</v>
      </c>
      <c r="E55" s="71" t="s">
        <v>924</v>
      </c>
      <c r="F55" s="92"/>
      <c r="G55" s="72"/>
      <c r="H55" s="72"/>
      <c r="I55" s="72"/>
      <c r="J55" s="72"/>
      <c r="K55" s="72"/>
      <c r="L55" s="72"/>
      <c r="M55" s="72"/>
      <c r="N55" s="72"/>
      <c r="O55" s="72"/>
      <c r="P55" s="72"/>
      <c r="Q55" s="72"/>
      <c r="R55" s="72"/>
      <c r="S55" s="72"/>
      <c r="T55" s="72"/>
      <c r="U55" s="72"/>
      <c r="V55" s="72"/>
      <c r="W55" s="72"/>
      <c r="X55" s="72"/>
      <c r="Y55" s="72"/>
      <c r="Z55" s="73"/>
      <c r="AA55" s="75"/>
      <c r="AB55" s="61"/>
      <c r="AC55" s="65"/>
      <c r="AD55" s="65"/>
      <c r="AE55" s="76" t="s">
        <v>114</v>
      </c>
      <c r="AF55" s="65"/>
      <c r="AG55" s="65"/>
      <c r="AH55" s="65"/>
      <c r="AI55" s="65"/>
      <c r="AJ55" s="65"/>
      <c r="AK55" s="65"/>
      <c r="AL55" s="65"/>
      <c r="AM55" s="65"/>
      <c r="AN55" s="65"/>
      <c r="AO55" s="65"/>
      <c r="AP55" s="66"/>
      <c r="AQ55" s="65"/>
      <c r="AR55" s="65" t="s">
        <v>404</v>
      </c>
      <c r="AS55" s="65"/>
      <c r="AT55" s="65"/>
      <c r="AU55" s="65"/>
      <c r="AV55" s="65"/>
      <c r="AW55" s="65"/>
      <c r="AX55" s="65"/>
      <c r="AY55" s="65"/>
      <c r="AZ55" s="65"/>
      <c r="BA55" s="65"/>
      <c r="BB55" s="65" t="s">
        <v>407</v>
      </c>
      <c r="BC55" s="65"/>
      <c r="BD55" s="65"/>
      <c r="BE55" s="65"/>
      <c r="BF55" s="65"/>
      <c r="BG55" s="65"/>
      <c r="BH55" s="65"/>
      <c r="BI55" s="65"/>
      <c r="BJ55" s="65"/>
      <c r="BK55" s="65"/>
      <c r="BL55" s="65"/>
      <c r="BM55" s="361" t="str">
        <f>'Material editor'!C59</f>
        <v>117-;  kg/m³;  W/(mK);  years</v>
      </c>
    </row>
    <row r="56" spans="1:65" ht="15" customHeight="1" outlineLevel="1" x14ac:dyDescent="0.25">
      <c r="A56" s="61"/>
      <c r="B56" s="272"/>
      <c r="C56" s="77"/>
      <c r="D56" s="116" t="s">
        <v>133</v>
      </c>
      <c r="E56" s="78"/>
      <c r="F56" s="78"/>
      <c r="AA56" s="75"/>
      <c r="AB56" s="61"/>
      <c r="AC56" s="65"/>
      <c r="AD56" s="65"/>
      <c r="AE56" s="65"/>
      <c r="AF56" s="65"/>
      <c r="AG56" s="65"/>
      <c r="AH56" s="65"/>
      <c r="AI56" s="65"/>
      <c r="AJ56" s="65"/>
      <c r="AK56" s="65"/>
      <c r="AL56" s="65"/>
      <c r="AM56" s="65"/>
      <c r="AN56" s="65"/>
      <c r="AO56" s="65"/>
      <c r="AP56" s="66"/>
      <c r="AQ56" s="65"/>
      <c r="AR56" s="65"/>
      <c r="AS56" s="65"/>
      <c r="AT56" s="65"/>
      <c r="AU56" s="65"/>
      <c r="AV56" s="65"/>
      <c r="AW56" s="65"/>
      <c r="AX56" s="65"/>
      <c r="AY56" s="65"/>
      <c r="AZ56" s="65"/>
      <c r="BA56" s="65"/>
      <c r="BB56" s="65"/>
      <c r="BC56" s="65"/>
      <c r="BD56" s="65"/>
      <c r="BE56" s="65"/>
      <c r="BF56" s="65"/>
      <c r="BG56" s="65"/>
      <c r="BH56" s="65"/>
      <c r="BI56" s="65"/>
      <c r="BJ56" s="65"/>
      <c r="BK56" s="65"/>
      <c r="BL56" s="65"/>
      <c r="BM56" s="361" t="str">
        <f>'Material editor'!C60</f>
        <v>118-;  kg/m³;  W/(mK);  years</v>
      </c>
    </row>
    <row r="57" spans="1:65" ht="15" customHeight="1" outlineLevel="1" x14ac:dyDescent="0.25">
      <c r="A57" s="61"/>
      <c r="B57" s="272"/>
      <c r="C57" s="77"/>
      <c r="D57" s="79">
        <v>0.13</v>
      </c>
      <c r="E57" s="2" t="s">
        <v>151</v>
      </c>
      <c r="F57" s="138">
        <v>1</v>
      </c>
      <c r="G57" s="61"/>
      <c r="H57" s="74"/>
      <c r="I57" s="74"/>
      <c r="J57" s="74"/>
      <c r="K57" s="2" t="s">
        <v>921</v>
      </c>
      <c r="L57" s="74"/>
      <c r="M57" s="74"/>
      <c r="N57" s="74"/>
      <c r="AA57" s="75"/>
      <c r="AB57" s="61"/>
      <c r="AC57" s="65"/>
      <c r="AD57" s="65"/>
      <c r="AE57" s="65" t="s">
        <v>115</v>
      </c>
      <c r="AF57" s="65"/>
      <c r="AG57" s="65"/>
      <c r="AH57" s="65"/>
      <c r="AI57" s="65" t="s">
        <v>116</v>
      </c>
      <c r="AJ57" s="65"/>
      <c r="AK57" s="65"/>
      <c r="AL57" s="65"/>
      <c r="AM57" s="65"/>
      <c r="AN57" s="65"/>
      <c r="AO57" s="65"/>
      <c r="AP57" s="66"/>
      <c r="AQ57" s="65"/>
      <c r="AR57" s="65"/>
      <c r="AS57" s="65"/>
      <c r="AT57" s="65"/>
      <c r="AU57" s="65"/>
      <c r="AV57" s="65"/>
      <c r="AW57" s="65"/>
      <c r="AX57" s="65"/>
      <c r="AY57" s="65"/>
      <c r="AZ57" s="65"/>
      <c r="BA57" s="65"/>
      <c r="BB57" s="65"/>
      <c r="BC57" s="65"/>
      <c r="BD57" s="65"/>
      <c r="BE57" s="65"/>
      <c r="BF57" s="65"/>
      <c r="BG57" s="65"/>
      <c r="BH57" s="65"/>
      <c r="BI57" s="65"/>
      <c r="BJ57" s="65"/>
      <c r="BK57" s="65"/>
      <c r="BL57" s="65"/>
      <c r="BM57" s="361" t="str">
        <f>'Material editor'!C61</f>
        <v>119-;  kg/m³;  W/(mK);  years</v>
      </c>
    </row>
    <row r="58" spans="1:65" ht="15.75" customHeight="1" outlineLevel="1" x14ac:dyDescent="0.25">
      <c r="A58" s="61"/>
      <c r="B58" s="272"/>
      <c r="C58" s="77"/>
      <c r="D58" s="79">
        <v>0.04</v>
      </c>
      <c r="E58" s="2" t="s">
        <v>152</v>
      </c>
      <c r="F58" s="2"/>
      <c r="G58" s="61"/>
      <c r="H58" s="74"/>
      <c r="I58" s="74"/>
      <c r="J58" s="74"/>
      <c r="K58" s="74"/>
      <c r="L58" s="74"/>
      <c r="M58" s="74"/>
      <c r="N58" s="74"/>
      <c r="AA58" s="75"/>
      <c r="AB58" s="61"/>
      <c r="AC58" s="65"/>
      <c r="AD58" s="65"/>
      <c r="AE58" s="80" t="s">
        <v>117</v>
      </c>
      <c r="AF58" s="81"/>
      <c r="AG58" s="81"/>
      <c r="AH58" s="65"/>
      <c r="AI58" s="82" t="s">
        <v>118</v>
      </c>
      <c r="AJ58" s="81"/>
      <c r="AK58" s="81"/>
      <c r="AL58" s="65"/>
      <c r="AM58" s="83" t="s">
        <v>119</v>
      </c>
      <c r="AN58" s="84"/>
      <c r="AO58" s="8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361" t="str">
        <f>'Material editor'!C62</f>
        <v>200-Window glass, single;  kg/m³;  W/(mK); 40 years</v>
      </c>
    </row>
    <row r="59" spans="1:65" ht="15.75" customHeight="1" outlineLevel="1" x14ac:dyDescent="0.25">
      <c r="A59" s="61"/>
      <c r="B59" s="272"/>
      <c r="C59" s="77"/>
      <c r="D59" s="74"/>
      <c r="E59" s="61"/>
      <c r="F59" s="61"/>
      <c r="G59" s="61"/>
      <c r="H59" s="74"/>
      <c r="I59" s="74"/>
      <c r="J59" s="74"/>
      <c r="K59" s="74"/>
      <c r="L59" s="74"/>
      <c r="M59" s="74"/>
      <c r="N59" s="74"/>
      <c r="O59" s="1"/>
      <c r="P59" s="1"/>
      <c r="Q59" s="1"/>
      <c r="AA59" s="75"/>
      <c r="AB59" s="61"/>
      <c r="AC59" s="65"/>
      <c r="AD59" s="65"/>
      <c r="AE59" s="117"/>
      <c r="AF59" s="117"/>
      <c r="AG59" s="117"/>
      <c r="AH59" s="65"/>
      <c r="AI59" s="118"/>
      <c r="AJ59" s="117"/>
      <c r="AK59" s="117"/>
      <c r="AL59" s="65"/>
      <c r="AM59" s="119"/>
      <c r="AN59" s="119"/>
      <c r="AO59" s="119"/>
      <c r="AP59" s="65"/>
      <c r="AQ59" s="65"/>
      <c r="AR59" s="65"/>
      <c r="AS59" s="65"/>
      <c r="AT59" s="148" t="s">
        <v>351</v>
      </c>
      <c r="AU59" s="65"/>
      <c r="AV59" s="65"/>
      <c r="AW59" s="65"/>
      <c r="AX59" s="148"/>
      <c r="AY59" s="65"/>
      <c r="AZ59" s="65"/>
      <c r="BA59" s="65"/>
      <c r="BB59" s="65"/>
      <c r="BC59" s="148" t="s">
        <v>406</v>
      </c>
      <c r="BD59" s="65"/>
      <c r="BE59" s="65"/>
      <c r="BF59" s="65"/>
      <c r="BG59" s="148"/>
      <c r="BH59" s="65"/>
      <c r="BI59" s="65"/>
      <c r="BJ59" s="65"/>
      <c r="BK59" s="65"/>
      <c r="BL59" s="65"/>
      <c r="BM59" s="361" t="str">
        <f>'Material editor'!C63</f>
        <v>201-Insulated glazing, double pane;  kg/m³;  W/(mK); 40 years</v>
      </c>
    </row>
    <row r="60" spans="1:65" ht="22.5" customHeight="1" outlineLevel="1" x14ac:dyDescent="0.25">
      <c r="A60" s="61"/>
      <c r="B60" s="272"/>
      <c r="C60" s="77"/>
      <c r="D60" s="121" t="str">
        <f>$D$35</f>
        <v>Area section 1</v>
      </c>
      <c r="E60" s="61"/>
      <c r="F60" s="122" t="str">
        <f>$F$35</f>
        <v>Count?</v>
      </c>
      <c r="G60" s="122" t="str">
        <f>$G$35</f>
        <v>Thermal conductivity</v>
      </c>
      <c r="H60" s="122" t="str">
        <f>$H$35</f>
        <v>Manfacturing energy</v>
      </c>
      <c r="I60" s="122" t="str">
        <f>$I$35</f>
        <v>GWP</v>
      </c>
      <c r="J60" s="122" t="str">
        <f>$J$35</f>
        <v>Service life</v>
      </c>
      <c r="K60" s="121" t="str">
        <f>$K$35</f>
        <v>Area section 2 (optional)</v>
      </c>
      <c r="L60" s="121"/>
      <c r="M60" s="122" t="str">
        <f>$M$35</f>
        <v>Count?</v>
      </c>
      <c r="N60" s="122" t="str">
        <f>$N$35</f>
        <v>Thermal conductivity</v>
      </c>
      <c r="O60" s="122" t="str">
        <f>$O$35</f>
        <v>Manfacturing energy</v>
      </c>
      <c r="P60" s="122" t="str">
        <f>$P$35</f>
        <v>GWP</v>
      </c>
      <c r="Q60" s="122" t="str">
        <f>$Q$35</f>
        <v>Service life</v>
      </c>
      <c r="R60" s="121" t="str">
        <f>$R$35</f>
        <v>Area section 3 (optional)</v>
      </c>
      <c r="S60" s="74"/>
      <c r="T60" s="122" t="str">
        <f>$T$35</f>
        <v>Count?</v>
      </c>
      <c r="U60" s="122" t="str">
        <f>$U$35</f>
        <v>Thermal conductivity</v>
      </c>
      <c r="V60" s="122" t="str">
        <f>$V$35</f>
        <v>Manfacturing energy</v>
      </c>
      <c r="W60" s="122" t="str">
        <f>$W$35</f>
        <v>GWP</v>
      </c>
      <c r="X60" s="122" t="str">
        <f>$X$35</f>
        <v>Service life</v>
      </c>
      <c r="Y60" s="74"/>
      <c r="Z60" s="122" t="str">
        <f>$Z$35</f>
        <v>Thickness</v>
      </c>
      <c r="AA60" s="75"/>
      <c r="AB60" s="61"/>
      <c r="AC60" s="65"/>
      <c r="AD60" s="65"/>
      <c r="AE60" s="86"/>
      <c r="AF60" s="87"/>
      <c r="AG60" s="65"/>
      <c r="AH60" s="65"/>
      <c r="AI60" s="65"/>
      <c r="AJ60" s="65"/>
      <c r="AK60" s="65"/>
      <c r="AL60" s="65"/>
      <c r="AM60" s="65"/>
      <c r="AN60" s="65"/>
      <c r="AO60" s="65"/>
      <c r="AP60" s="65"/>
      <c r="AQ60" s="65"/>
      <c r="AR60" s="65"/>
      <c r="AS60" s="65"/>
      <c r="AT60" s="148"/>
      <c r="AU60" s="65"/>
      <c r="AV60" s="65"/>
      <c r="AW60" s="151" t="s">
        <v>353</v>
      </c>
      <c r="AX60" s="149">
        <f>D70</f>
        <v>0.80400000000000005</v>
      </c>
      <c r="AY60" s="150">
        <f>K70</f>
        <v>9.6000000000000002E-2</v>
      </c>
      <c r="AZ60" s="150">
        <f>R70</f>
        <v>0.1</v>
      </c>
      <c r="BA60" s="156">
        <f>SUM(AX60:AZ60)</f>
        <v>1</v>
      </c>
      <c r="BB60" s="65"/>
      <c r="BC60" s="148"/>
      <c r="BD60" s="65"/>
      <c r="BE60" s="65"/>
      <c r="BF60" s="151" t="s">
        <v>353</v>
      </c>
      <c r="BG60" s="149">
        <f>AX60</f>
        <v>0.80400000000000005</v>
      </c>
      <c r="BH60" s="149">
        <f t="shared" ref="BH60" si="42">AY60</f>
        <v>9.6000000000000002E-2</v>
      </c>
      <c r="BI60" s="149">
        <f t="shared" ref="BI60" si="43">AZ60</f>
        <v>0.1</v>
      </c>
      <c r="BJ60" s="156">
        <f>SUM(BG60:BI60)</f>
        <v>1</v>
      </c>
      <c r="BK60" s="65"/>
      <c r="BL60" s="65"/>
      <c r="BM60" s="361" t="str">
        <f>'Material editor'!C64</f>
        <v>202-Insulated glazing, triple pane;  kg/m³;  W/(mK); 40 years</v>
      </c>
    </row>
    <row r="61" spans="1:65" ht="15" customHeight="1" outlineLevel="1" x14ac:dyDescent="0.25">
      <c r="A61" s="61"/>
      <c r="B61" s="272"/>
      <c r="C61" s="77"/>
      <c r="E61" s="61"/>
      <c r="F61" s="120" t="s">
        <v>985</v>
      </c>
      <c r="G61" s="4" t="s">
        <v>135</v>
      </c>
      <c r="H61" s="120" t="s">
        <v>144</v>
      </c>
      <c r="I61" s="120" t="s">
        <v>148</v>
      </c>
      <c r="J61" s="120" t="s">
        <v>146</v>
      </c>
      <c r="K61" s="88"/>
      <c r="L61" s="88"/>
      <c r="M61" s="88"/>
      <c r="N61" s="4" t="s">
        <v>135</v>
      </c>
      <c r="O61" s="120" t="s">
        <v>144</v>
      </c>
      <c r="P61" s="120" t="s">
        <v>148</v>
      </c>
      <c r="Q61" s="120" t="s">
        <v>146</v>
      </c>
      <c r="R61" s="88"/>
      <c r="S61" s="88"/>
      <c r="T61" s="88"/>
      <c r="U61" s="4" t="s">
        <v>135</v>
      </c>
      <c r="V61" s="120" t="s">
        <v>144</v>
      </c>
      <c r="W61" s="120" t="s">
        <v>148</v>
      </c>
      <c r="X61" s="120" t="s">
        <v>146</v>
      </c>
      <c r="Y61" s="74"/>
      <c r="Z61" s="120" t="str">
        <f>$Z$36</f>
        <v>[mm]</v>
      </c>
      <c r="AA61" s="75"/>
      <c r="AB61" s="61"/>
      <c r="AC61" s="65"/>
      <c r="AD61" s="65"/>
      <c r="AE61" s="89" t="s">
        <v>120</v>
      </c>
      <c r="AF61" s="89" t="s">
        <v>121</v>
      </c>
      <c r="AG61" s="89" t="s">
        <v>122</v>
      </c>
      <c r="AH61" s="65"/>
      <c r="AI61" s="89" t="s">
        <v>120</v>
      </c>
      <c r="AJ61" s="89" t="s">
        <v>121</v>
      </c>
      <c r="AK61" s="89" t="s">
        <v>122</v>
      </c>
      <c r="AL61" s="90"/>
      <c r="AM61" s="89" t="s">
        <v>120</v>
      </c>
      <c r="AN61" s="89" t="s">
        <v>121</v>
      </c>
      <c r="AO61" s="89" t="s">
        <v>122</v>
      </c>
      <c r="AP61" s="90" t="s">
        <v>123</v>
      </c>
      <c r="AQ61" s="65"/>
      <c r="AR61" s="65"/>
      <c r="AS61" s="65"/>
      <c r="AT61" s="89" t="s">
        <v>120</v>
      </c>
      <c r="AU61" s="89" t="s">
        <v>121</v>
      </c>
      <c r="AV61" s="89" t="s">
        <v>122</v>
      </c>
      <c r="AW61" s="65"/>
      <c r="AX61" s="89" t="s">
        <v>120</v>
      </c>
      <c r="AY61" s="89" t="s">
        <v>121</v>
      </c>
      <c r="AZ61" s="89" t="s">
        <v>122</v>
      </c>
      <c r="BA61" s="89" t="s">
        <v>354</v>
      </c>
      <c r="BB61" s="65"/>
      <c r="BC61" s="89" t="s">
        <v>120</v>
      </c>
      <c r="BD61" s="89" t="s">
        <v>121</v>
      </c>
      <c r="BE61" s="89" t="s">
        <v>122</v>
      </c>
      <c r="BF61" s="65"/>
      <c r="BG61" s="89" t="s">
        <v>120</v>
      </c>
      <c r="BH61" s="89" t="s">
        <v>121</v>
      </c>
      <c r="BI61" s="89" t="s">
        <v>122</v>
      </c>
      <c r="BJ61" s="89" t="s">
        <v>354</v>
      </c>
      <c r="BK61" s="65"/>
      <c r="BL61" s="65"/>
      <c r="BM61" s="361" t="str">
        <f>'Material editor'!C65</f>
        <v>203-Glass - Bundesverband Flachglas e.V. - Toughened safety glass; 2500 kg/m³;  W/(mK); 40 years</v>
      </c>
    </row>
    <row r="62" spans="1:65" ht="15" customHeight="1" outlineLevel="1" x14ac:dyDescent="0.25">
      <c r="A62" s="61"/>
      <c r="B62" s="272"/>
      <c r="C62" s="91"/>
      <c r="D62" s="418" t="s">
        <v>1023</v>
      </c>
      <c r="E62" s="419"/>
      <c r="F62" s="94">
        <v>1</v>
      </c>
      <c r="G62" s="136">
        <f>IF(ISNUMBER(VLOOKUP(LEFT(D62,3),'Material editor'!$D$11:$H$110,'Material editor'!$E$8,0)),VLOOKUP(LEFT(D62,3),'Material editor'!$D$11:$H$110,'Material editor'!$E$8,0),"")</f>
        <v>0.54</v>
      </c>
      <c r="H62" s="137">
        <f>IF(ISNUMBER(VLOOKUP(LEFT(D62,3),'Material editor'!$D$11:$H$110,'Material editor'!$F$8,0)),VLOOKUP(LEFT(D62,3),'Material editor'!$D$11:$H$110,'Material editor'!$F$8,0),"")</f>
        <v>615.62380504232146</v>
      </c>
      <c r="I62" s="137">
        <f>IF(ISNUMBER(VLOOKUP(LEFT(D62,3),'Material editor'!$D$11:$H$110,'Material editor'!$G$8,0)),VLOOKUP(LEFT(D62,3),'Material editor'!$D$11:$H$110,'Material editor'!$G$8,0),"")</f>
        <v>118.443629056085</v>
      </c>
      <c r="J62" s="137">
        <f>IF(ISNUMBER(VLOOKUP(LEFT(D62,3),'Material editor'!$D$11:$H$110,'Material editor'!$H$8,0)),VLOOKUP(LEFT(D62,3),'Material editor'!$D$11:$H$110,'Material editor'!$H$8,0),"")</f>
        <v>40</v>
      </c>
      <c r="K62" s="418"/>
      <c r="L62" s="407"/>
      <c r="M62" s="94"/>
      <c r="N62" s="136" t="str">
        <f>IF(ISNUMBER(VLOOKUP(LEFT(K62,3),'Material editor'!$D$11:$H$110,'Material editor'!$E$8,0)),VLOOKUP(LEFT(K62,3),'Material editor'!$D$11:$H$110,'Material editor'!$E$8,0),"")</f>
        <v/>
      </c>
      <c r="O62" s="137" t="str">
        <f>IF(ISNUMBER(VLOOKUP(LEFT(K62,3),'Material editor'!$D$11:$H$110,'Material editor'!$F$8,0)),VLOOKUP(LEFT(K62,3),'Material editor'!$D$11:$H$110,'Material editor'!$F$8,0),"")</f>
        <v/>
      </c>
      <c r="P62" s="137" t="str">
        <f>IF(ISNUMBER(VLOOKUP(LEFT(K62,3),'Material editor'!$D$11:$H$110,'Material editor'!$G$8,0)),VLOOKUP(LEFT(K62,3),'Material editor'!$D$11:$H$110,'Material editor'!$G$8,0),"")</f>
        <v/>
      </c>
      <c r="Q62" s="137" t="str">
        <f>IF(ISNUMBER(VLOOKUP(LEFT(K62,3),'Material editor'!$D$11:$H$110,'Material editor'!$H$8,0)),VLOOKUP(LEFT(K62,3),'Material editor'!$D$11:$H$110,'Material editor'!$H$8,0),"")</f>
        <v/>
      </c>
      <c r="R62" s="418"/>
      <c r="S62" s="407"/>
      <c r="T62" s="94"/>
      <c r="U62" s="136" t="str">
        <f>IF(ISNUMBER(VLOOKUP(LEFT(R62,3),'Material editor'!$D$11:$H$110,'Material editor'!$E$8,0)),VLOOKUP(LEFT(R62,3),'Material editor'!$D$11:$H$110,'Material editor'!$E$8,0),"")</f>
        <v/>
      </c>
      <c r="V62" s="137" t="str">
        <f>IF(ISNUMBER(VLOOKUP(LEFT(R62,3),'Material editor'!$D$11:$H$110,'Material editor'!$F$8,0)),VLOOKUP(LEFT(R62,3),'Material editor'!$D$11:$H$110,'Material editor'!$F$8,0),"")</f>
        <v/>
      </c>
      <c r="W62" s="137" t="str">
        <f>IF(ISNUMBER(VLOOKUP(LEFT(R62,3),'Material editor'!$D$11:$H$110,'Material editor'!$G$8,0)),VLOOKUP(LEFT(R62,3),'Material editor'!$D$11:$H$110,'Material editor'!$G$8,0),"")</f>
        <v/>
      </c>
      <c r="X62" s="137" t="str">
        <f>IF(ISNUMBER(VLOOKUP(LEFT(R62,3),'Material editor'!$D$11:$H$110,'Material editor'!$H$8,0)),VLOOKUP(LEFT(R62,3),'Material editor'!$D$11:$H$110,'Material editor'!$H$8,0),"")</f>
        <v/>
      </c>
      <c r="Y62" s="74"/>
      <c r="Z62" s="94">
        <v>15</v>
      </c>
      <c r="AA62" s="8"/>
      <c r="AB62" s="61"/>
      <c r="AC62" s="65"/>
      <c r="AD62" s="65"/>
      <c r="AE62" s="95">
        <f t="shared" ref="AE62:AE69" si="44">IF(ISNUMBER(G62),IF(G62&gt;0,$Z62/1000/G62,0),0)</f>
        <v>2.7777777777777776E-2</v>
      </c>
      <c r="AF62" s="95">
        <f t="shared" ref="AF62:AF69" si="45">IF(ISNUMBER(N62),IF(N62&gt;0,$Z62/1000/N62,0),$AE62)</f>
        <v>2.7777777777777776E-2</v>
      </c>
      <c r="AG62" s="95">
        <f t="shared" ref="AG62:AG69" si="46">IF(ISNUMBER(U62),IF(U62&gt;0,$Z62/1000/U62,0),$AE62)</f>
        <v>2.7777777777777776E-2</v>
      </c>
      <c r="AH62" s="65"/>
      <c r="AI62" s="95">
        <f t="shared" ref="AI62:AI68" si="47">IF(ISNUMBER(G62),G62,0)</f>
        <v>0.54</v>
      </c>
      <c r="AJ62" s="95">
        <f t="shared" ref="AJ62:AJ69" si="48">IF(ISNUMBER(N62),IF(N62&gt;0,N62,0),$AI62)</f>
        <v>0.54</v>
      </c>
      <c r="AK62" s="95">
        <f t="shared" ref="AK62:AK69" si="49">IF(ISNUMBER(U62),IF(U62&gt;0,U62,0),$AI62)</f>
        <v>0.54</v>
      </c>
      <c r="AL62" s="65"/>
      <c r="AM62" s="96">
        <f>AE71</f>
        <v>0.80400000000000005</v>
      </c>
      <c r="AN62" s="96">
        <f>AF71</f>
        <v>9.6000000000000002E-2</v>
      </c>
      <c r="AO62" s="96">
        <f>AG71</f>
        <v>0.1</v>
      </c>
      <c r="AP62" s="65">
        <f t="shared" ref="AP62:AP69" si="50">IF(AI62&lt;&gt;0,Z62/1000/SUMPRODUCT(AM62:AO62,AI62:AK62),0)</f>
        <v>2.7777777777777776E-2</v>
      </c>
      <c r="AQ62" s="65"/>
      <c r="AR62" s="65"/>
      <c r="AS62" s="65"/>
      <c r="AT62" s="95">
        <f>IF(ISNUMBER(H62),H62*F62*Z62/1000*Balance!$H$13/J62,0)</f>
        <v>4.6171785378174111</v>
      </c>
      <c r="AU62" s="95">
        <f>IF(ISTEXT(K62),IF(ISNUMBER(O62),O62*M62*Z62/1000*Balance!$H$13/Q62,0),AT62)</f>
        <v>4.6171785378174111</v>
      </c>
      <c r="AV62" s="95">
        <f>IF(ISTEXT(R62),IF(ISNUMBER(V62),V62*T62*Z62/1000*Balance!$H$13/X62,0),AT62)</f>
        <v>4.6171785378174111</v>
      </c>
      <c r="AW62" s="99"/>
      <c r="AX62" s="95">
        <f>AT62*AX60</f>
        <v>3.7122115444051986</v>
      </c>
      <c r="AY62" s="95">
        <f>AU62*AY60</f>
        <v>0.44324913963047147</v>
      </c>
      <c r="AZ62" s="95">
        <f>AV62*AZ60</f>
        <v>0.46171785378174113</v>
      </c>
      <c r="BA62" s="95">
        <f>SUM(AX62:AZ62)</f>
        <v>4.6171785378174119</v>
      </c>
      <c r="BB62" s="65"/>
      <c r="BC62" s="95">
        <f>IF(ISNUMBER(I62),I62*F62*Z62/1000*Balance!$H$13/J62,0)</f>
        <v>0.88832721792063762</v>
      </c>
      <c r="BD62" s="95">
        <f>IF(ISTEXT(K62),IF(ISNUMBER(P62),P62*M62*Z62/1000*Balance!$H$13/Q62,0),BC62)</f>
        <v>0.88832721792063762</v>
      </c>
      <c r="BE62" s="95">
        <f>IF(ISTEXT(R62),IF(ISNUMBER(W62),W62*T62*Z62/1000*Balance!$H$13/X62,0),BC62)</f>
        <v>0.88832721792063762</v>
      </c>
      <c r="BF62" s="99"/>
      <c r="BG62" s="95">
        <f>BC62*BG60</f>
        <v>0.71421508320819271</v>
      </c>
      <c r="BH62" s="95">
        <f>BD62*BH60</f>
        <v>8.5279412920381215E-2</v>
      </c>
      <c r="BI62" s="95">
        <f>BE62*BI60</f>
        <v>8.8832721792063765E-2</v>
      </c>
      <c r="BJ62" s="95">
        <f>SUM(BG62:BI62)</f>
        <v>0.88832721792063774</v>
      </c>
      <c r="BK62" s="65"/>
      <c r="BL62" s="65"/>
      <c r="BM62" s="361" t="str">
        <f>'Material editor'!C66</f>
        <v>204-;  kg/m³;  W/(mK);  years</v>
      </c>
    </row>
    <row r="63" spans="1:65" ht="15" customHeight="1" outlineLevel="1" x14ac:dyDescent="0.25">
      <c r="A63" s="61"/>
      <c r="B63" s="272"/>
      <c r="C63" s="91"/>
      <c r="D63" s="418" t="s">
        <v>1025</v>
      </c>
      <c r="E63" s="419"/>
      <c r="F63" s="94">
        <v>1</v>
      </c>
      <c r="G63" s="136">
        <f>IF(ISNUMBER(VLOOKUP(LEFT(D63,3),'Material editor'!$D$11:$H$110,'Material editor'!$E$8,0)),VLOOKUP(LEFT(D63,3),'Material editor'!$D$11:$H$110,'Material editor'!$E$8,0),"")</f>
        <v>1</v>
      </c>
      <c r="H63" s="137">
        <f>IF(ISNUMBER(VLOOKUP(LEFT(D63,3),'Material editor'!$D$11:$H$110,'Material editor'!$F$8,0)),VLOOKUP(LEFT(D63,3),'Material editor'!$D$11:$H$110,'Material editor'!$F$8,0),"")</f>
        <v>614.05957752709162</v>
      </c>
      <c r="I63" s="137">
        <f>IF(ISNUMBER(VLOOKUP(LEFT(D63,3),'Material editor'!$D$11:$H$110,'Material editor'!$G$8,0)),VLOOKUP(LEFT(D63,3),'Material editor'!$D$11:$H$110,'Material editor'!$G$8,0),"")</f>
        <v>302.58299751328502</v>
      </c>
      <c r="J63" s="137">
        <f>IF(ISNUMBER(VLOOKUP(LEFT(D63,3),'Material editor'!$D$11:$H$110,'Material editor'!$H$8,0)),VLOOKUP(LEFT(D63,3),'Material editor'!$D$11:$H$110,'Material editor'!$H$8,0),"")</f>
        <v>80</v>
      </c>
      <c r="K63" s="418"/>
      <c r="L63" s="407"/>
      <c r="M63" s="94"/>
      <c r="N63" s="136" t="str">
        <f>IF(ISNUMBER(VLOOKUP(LEFT(K63,3),'Material editor'!$D$11:$H$110,'Material editor'!$E$8,0)),VLOOKUP(LEFT(K63,3),'Material editor'!$D$11:$H$110,'Material editor'!$E$8,0),"")</f>
        <v/>
      </c>
      <c r="O63" s="137" t="str">
        <f>IF(ISNUMBER(VLOOKUP(LEFT(K63,3),'Material editor'!$D$11:$H$110,'Material editor'!$F$8,0)),VLOOKUP(LEFT(K63,3),'Material editor'!$D$11:$H$110,'Material editor'!$F$8,0),"")</f>
        <v/>
      </c>
      <c r="P63" s="137" t="str">
        <f>IF(ISNUMBER(VLOOKUP(LEFT(K63,3),'Material editor'!$D$11:$H$110,'Material editor'!$G$8,0)),VLOOKUP(LEFT(K63,3),'Material editor'!$D$11:$H$110,'Material editor'!$G$8,0),"")</f>
        <v/>
      </c>
      <c r="Q63" s="137" t="str">
        <f>IF(ISNUMBER(VLOOKUP(LEFT(K63,3),'Material editor'!$D$11:$H$110,'Material editor'!$H$8,0)),VLOOKUP(LEFT(K63,3),'Material editor'!$D$11:$H$110,'Material editor'!$H$8,0),"")</f>
        <v/>
      </c>
      <c r="R63" s="418"/>
      <c r="S63" s="407"/>
      <c r="T63" s="94"/>
      <c r="U63" s="136" t="str">
        <f>IF(ISNUMBER(VLOOKUP(LEFT(R63,3),'Material editor'!$D$11:$H$110,'Material editor'!$E$8,0)),VLOOKUP(LEFT(R63,3),'Material editor'!$D$11:$H$110,'Material editor'!$E$8,0),"")</f>
        <v/>
      </c>
      <c r="V63" s="137" t="str">
        <f>IF(ISNUMBER(VLOOKUP(LEFT(R63,3),'Material editor'!$D$11:$H$110,'Material editor'!$F$8,0)),VLOOKUP(LEFT(R63,3),'Material editor'!$D$11:$H$110,'Material editor'!$F$8,0),"")</f>
        <v/>
      </c>
      <c r="W63" s="137" t="str">
        <f>IF(ISNUMBER(VLOOKUP(LEFT(R63,3),'Material editor'!$D$11:$H$110,'Material editor'!$G$8,0)),VLOOKUP(LEFT(R63,3),'Material editor'!$D$11:$H$110,'Material editor'!$G$8,0),"")</f>
        <v/>
      </c>
      <c r="X63" s="137" t="str">
        <f>IF(ISNUMBER(VLOOKUP(LEFT(R63,3),'Material editor'!$D$11:$H$110,'Material editor'!$H$8,0)),VLOOKUP(LEFT(R63,3),'Material editor'!$D$11:$H$110,'Material editor'!$H$8,0),"")</f>
        <v/>
      </c>
      <c r="Y63" s="74"/>
      <c r="Z63" s="94">
        <v>175</v>
      </c>
      <c r="AA63" s="8"/>
      <c r="AB63" s="61"/>
      <c r="AC63" s="65"/>
      <c r="AD63" s="65"/>
      <c r="AE63" s="95">
        <f t="shared" si="44"/>
        <v>0.17499999999999999</v>
      </c>
      <c r="AF63" s="95">
        <f t="shared" si="45"/>
        <v>0.17499999999999999</v>
      </c>
      <c r="AG63" s="95">
        <f t="shared" si="46"/>
        <v>0.17499999999999999</v>
      </c>
      <c r="AH63" s="65"/>
      <c r="AI63" s="95">
        <f t="shared" si="47"/>
        <v>1</v>
      </c>
      <c r="AJ63" s="95">
        <f t="shared" si="48"/>
        <v>1</v>
      </c>
      <c r="AK63" s="95">
        <f t="shared" si="49"/>
        <v>1</v>
      </c>
      <c r="AL63" s="65"/>
      <c r="AM63" s="96">
        <f t="shared" ref="AM63:AO63" si="51">AM62</f>
        <v>0.80400000000000005</v>
      </c>
      <c r="AN63" s="96">
        <f t="shared" si="51"/>
        <v>9.6000000000000002E-2</v>
      </c>
      <c r="AO63" s="96">
        <f t="shared" si="51"/>
        <v>0.1</v>
      </c>
      <c r="AP63" s="65">
        <f t="shared" si="50"/>
        <v>0.17499999999999999</v>
      </c>
      <c r="AQ63" s="65"/>
      <c r="AR63" s="65"/>
      <c r="AS63" s="65"/>
      <c r="AT63" s="95">
        <f>IF(ISNUMBER(H63),H63*F63*Z63/1000*Balance!$H$13/J63,0)</f>
        <v>26.865106516810261</v>
      </c>
      <c r="AU63" s="95">
        <f>IF(ISTEXT(K63),IF(ISNUMBER(O63),O63*M63*Z63/1000*Balance!$H$13/Q63,0),AT63)</f>
        <v>26.865106516810261</v>
      </c>
      <c r="AV63" s="95">
        <f>IF(ISTEXT(R63),IF(ISNUMBER(V63),V63*T63*Z63/1000*Balance!$H$13/X63,0),AT63)</f>
        <v>26.865106516810261</v>
      </c>
      <c r="AW63" s="65"/>
      <c r="AX63" s="95">
        <f>AT63*AX60</f>
        <v>21.599545639515451</v>
      </c>
      <c r="AY63" s="95">
        <f>AU63*AY60</f>
        <v>2.5790502256137851</v>
      </c>
      <c r="AZ63" s="95">
        <f>AV63*AZ60</f>
        <v>2.6865106516810262</v>
      </c>
      <c r="BA63" s="95">
        <f t="shared" ref="BA63:BA69" si="52">SUM(AX63:AZ63)</f>
        <v>26.865106516810261</v>
      </c>
      <c r="BB63" s="65"/>
      <c r="BC63" s="95">
        <f>IF(ISNUMBER(I63),I63*F63*Z63/1000*Balance!$H$13/J63,0)</f>
        <v>13.238006141206222</v>
      </c>
      <c r="BD63" s="95">
        <f>IF(ISTEXT(K63),IF(ISNUMBER(P63),P63*M63*Z63/1000*Balance!$H$13/Q63,0),BC63)</f>
        <v>13.238006141206222</v>
      </c>
      <c r="BE63" s="95">
        <f>IF(ISTEXT(R63),IF(ISNUMBER(W63),W63*T63*Z63/1000*Balance!$H$13/X63,0),BC63)</f>
        <v>13.238006141206222</v>
      </c>
      <c r="BF63" s="65"/>
      <c r="BG63" s="95">
        <f>BC63*BG60</f>
        <v>10.643356937529804</v>
      </c>
      <c r="BH63" s="95">
        <f>BD63*BH60</f>
        <v>1.2708485895557973</v>
      </c>
      <c r="BI63" s="95">
        <f>BE63*BI60</f>
        <v>1.3238006141206222</v>
      </c>
      <c r="BJ63" s="95">
        <f t="shared" ref="BJ63:BJ69" si="53">SUM(BG63:BI63)</f>
        <v>13.238006141206224</v>
      </c>
      <c r="BK63" s="65"/>
      <c r="BL63" s="65"/>
      <c r="BM63" s="361" t="str">
        <f>'Material editor'!C67</f>
        <v>205-;  kg/m³;  W/(mK);  years</v>
      </c>
    </row>
    <row r="64" spans="1:65" ht="15" customHeight="1" outlineLevel="1" x14ac:dyDescent="0.25">
      <c r="A64" s="61"/>
      <c r="B64" s="272"/>
      <c r="C64" s="91"/>
      <c r="D64" s="418" t="s">
        <v>1007</v>
      </c>
      <c r="E64" s="419"/>
      <c r="F64" s="94">
        <v>1</v>
      </c>
      <c r="G64" s="136">
        <f>IF(ISNUMBER(VLOOKUP(LEFT(D64,3),'Material editor'!$D$11:$H$110,'Material editor'!$E$8,0)),VLOOKUP(LEFT(D64,3),'Material editor'!$D$11:$H$110,'Material editor'!$E$8,0),"")</f>
        <v>3.2000000000000001E-2</v>
      </c>
      <c r="H64" s="137">
        <f>IF(ISNUMBER(VLOOKUP(LEFT(D64,3),'Material editor'!$D$11:$H$110,'Material editor'!$F$8,0)),VLOOKUP(LEFT(D64,3),'Material editor'!$D$11:$H$110,'Material editor'!$F$8,0),"")</f>
        <v>217.89999999999998</v>
      </c>
      <c r="I64" s="137">
        <f>IF(ISNUMBER(VLOOKUP(LEFT(D64,3),'Material editor'!$D$11:$H$110,'Material editor'!$G$8,0)),VLOOKUP(LEFT(D64,3),'Material editor'!$D$11:$H$110,'Material editor'!$G$8,0),"")</f>
        <v>49.7</v>
      </c>
      <c r="J64" s="137">
        <f>IF(ISNUMBER(VLOOKUP(LEFT(D64,3),'Material editor'!$D$11:$H$110,'Material editor'!$H$8,0)),VLOOKUP(LEFT(D64,3),'Material editor'!$D$11:$H$110,'Material editor'!$H$8,0),"")</f>
        <v>40</v>
      </c>
      <c r="K64" s="418"/>
      <c r="L64" s="407"/>
      <c r="M64" s="94"/>
      <c r="N64" s="136" t="str">
        <f>IF(ISNUMBER(VLOOKUP(LEFT(K64,3),'Material editor'!$D$11:$H$110,'Material editor'!$E$8,0)),VLOOKUP(LEFT(K64,3),'Material editor'!$D$11:$H$110,'Material editor'!$E$8,0),"")</f>
        <v/>
      </c>
      <c r="O64" s="137" t="str">
        <f>IF(ISNUMBER(VLOOKUP(LEFT(K64,3),'Material editor'!$D$11:$H$110,'Material editor'!$F$8,0)),VLOOKUP(LEFT(K64,3),'Material editor'!$D$11:$H$110,'Material editor'!$F$8,0),"")</f>
        <v/>
      </c>
      <c r="P64" s="137" t="str">
        <f>IF(ISNUMBER(VLOOKUP(LEFT(K64,3),'Material editor'!$D$11:$H$110,'Material editor'!$G$8,0)),VLOOKUP(LEFT(K64,3),'Material editor'!$D$11:$H$110,'Material editor'!$G$8,0),"")</f>
        <v/>
      </c>
      <c r="Q64" s="137" t="str">
        <f>IF(ISNUMBER(VLOOKUP(LEFT(K64,3),'Material editor'!$D$11:$H$110,'Material editor'!$H$8,0)),VLOOKUP(LEFT(K64,3),'Material editor'!$D$11:$H$110,'Material editor'!$H$8,0),"")</f>
        <v/>
      </c>
      <c r="R64" s="418"/>
      <c r="S64" s="407"/>
      <c r="T64" s="94"/>
      <c r="U64" s="136" t="str">
        <f>IF(ISNUMBER(VLOOKUP(LEFT(R64,3),'Material editor'!$D$11:$H$110,'Material editor'!$E$8,0)),VLOOKUP(LEFT(R64,3),'Material editor'!$D$11:$H$110,'Material editor'!$E$8,0),"")</f>
        <v/>
      </c>
      <c r="V64" s="137" t="str">
        <f>IF(ISNUMBER(VLOOKUP(LEFT(R64,3),'Material editor'!$D$11:$H$110,'Material editor'!$F$8,0)),VLOOKUP(LEFT(R64,3),'Material editor'!$D$11:$H$110,'Material editor'!$F$8,0),"")</f>
        <v/>
      </c>
      <c r="W64" s="137" t="str">
        <f>IF(ISNUMBER(VLOOKUP(LEFT(R64,3),'Material editor'!$D$11:$H$110,'Material editor'!$G$8,0)),VLOOKUP(LEFT(R64,3),'Material editor'!$D$11:$H$110,'Material editor'!$G$8,0),"")</f>
        <v/>
      </c>
      <c r="X64" s="137" t="str">
        <f>IF(ISNUMBER(VLOOKUP(LEFT(R64,3),'Material editor'!$D$11:$H$110,'Material editor'!$H$8,0)),VLOOKUP(LEFT(R64,3),'Material editor'!$D$11:$H$110,'Material editor'!$H$8,0),"")</f>
        <v/>
      </c>
      <c r="Y64" s="74"/>
      <c r="Z64" s="94">
        <v>240</v>
      </c>
      <c r="AA64" s="8"/>
      <c r="AB64" s="61"/>
      <c r="AC64" s="65"/>
      <c r="AD64" s="65"/>
      <c r="AE64" s="95">
        <f t="shared" si="44"/>
        <v>7.5</v>
      </c>
      <c r="AF64" s="95">
        <f t="shared" si="45"/>
        <v>7.5</v>
      </c>
      <c r="AG64" s="95">
        <f t="shared" si="46"/>
        <v>7.5</v>
      </c>
      <c r="AH64" s="65"/>
      <c r="AI64" s="95">
        <f t="shared" si="47"/>
        <v>3.2000000000000001E-2</v>
      </c>
      <c r="AJ64" s="95">
        <f t="shared" si="48"/>
        <v>3.2000000000000001E-2</v>
      </c>
      <c r="AK64" s="95">
        <f t="shared" si="49"/>
        <v>3.2000000000000001E-2</v>
      </c>
      <c r="AL64" s="65"/>
      <c r="AM64" s="96">
        <f t="shared" ref="AM64:AO64" si="54">AM63</f>
        <v>0.80400000000000005</v>
      </c>
      <c r="AN64" s="96">
        <f t="shared" si="54"/>
        <v>9.6000000000000002E-2</v>
      </c>
      <c r="AO64" s="96">
        <f t="shared" si="54"/>
        <v>0.1</v>
      </c>
      <c r="AP64" s="65">
        <f t="shared" si="50"/>
        <v>7.5</v>
      </c>
      <c r="AQ64" s="65"/>
      <c r="AR64" s="65"/>
      <c r="AS64" s="65"/>
      <c r="AT64" s="95">
        <f>IF(ISNUMBER(H64),H64*F64*Z64/1000*Balance!$H$13/J64,0)</f>
        <v>26.147999999999996</v>
      </c>
      <c r="AU64" s="95">
        <f>IF(ISTEXT(K64),IF(ISNUMBER(O64),O64*M64*Z64/1000*Balance!$H$13/Q64,0),AT64)</f>
        <v>26.147999999999996</v>
      </c>
      <c r="AV64" s="95">
        <f>IF(ISTEXT(R64),IF(ISNUMBER(V64),V64*T64*Z64/1000*Balance!$H$13/X64,0),AT64)</f>
        <v>26.147999999999996</v>
      </c>
      <c r="AW64" s="65"/>
      <c r="AX64" s="95">
        <f>AT64*AX60</f>
        <v>21.022991999999999</v>
      </c>
      <c r="AY64" s="95">
        <f>AU64*AY60</f>
        <v>2.5102079999999996</v>
      </c>
      <c r="AZ64" s="95">
        <f>AV64*AZ60</f>
        <v>2.6147999999999998</v>
      </c>
      <c r="BA64" s="95">
        <f t="shared" si="52"/>
        <v>26.147999999999996</v>
      </c>
      <c r="BB64" s="65"/>
      <c r="BC64" s="95">
        <f>IF(ISNUMBER(I64),I64*F64*Z64/1000*Balance!$H$13/J64,0)</f>
        <v>5.9640000000000004</v>
      </c>
      <c r="BD64" s="95">
        <f>IF(ISTEXT(K64),IF(ISNUMBER(P64),P64*M64*Z64/1000*Balance!$H$13/Q64,0),BC64)</f>
        <v>5.9640000000000004</v>
      </c>
      <c r="BE64" s="95">
        <f>IF(ISTEXT(R64),IF(ISNUMBER(W64),W64*T64*Z64/1000*Balance!$H$13/X64,0),BC64)</f>
        <v>5.9640000000000004</v>
      </c>
      <c r="BF64" s="65"/>
      <c r="BG64" s="95">
        <f>BC64*BG60</f>
        <v>4.7950560000000007</v>
      </c>
      <c r="BH64" s="95">
        <f>BD64*BH60</f>
        <v>0.57254400000000005</v>
      </c>
      <c r="BI64" s="95">
        <f>BE64*BI60</f>
        <v>0.59640000000000004</v>
      </c>
      <c r="BJ64" s="95">
        <f t="shared" si="53"/>
        <v>5.9640000000000004</v>
      </c>
      <c r="BK64" s="65"/>
      <c r="BL64" s="65"/>
      <c r="BM64" s="361" t="str">
        <f>'Material editor'!C68</f>
        <v>206-;  kg/m³;  W/(mK);  years</v>
      </c>
    </row>
    <row r="65" spans="1:65" ht="15" customHeight="1" outlineLevel="1" x14ac:dyDescent="0.25">
      <c r="A65" s="61"/>
      <c r="B65" s="272"/>
      <c r="C65" s="91"/>
      <c r="D65" s="418" t="s">
        <v>1026</v>
      </c>
      <c r="E65" s="419"/>
      <c r="F65" s="94">
        <v>1</v>
      </c>
      <c r="G65" s="136">
        <f>IF(ISNUMBER(VLOOKUP(LEFT(D65,3),'Material editor'!$D$11:$H$110,'Material editor'!$E$8,0)),VLOOKUP(LEFT(D65,3),'Material editor'!$D$11:$H$110,'Material editor'!$E$8,0),"")</f>
        <v>0.7</v>
      </c>
      <c r="H65" s="137">
        <f>IF(ISNUMBER(VLOOKUP(LEFT(D65,3),'Material editor'!$D$11:$H$110,'Material editor'!$F$8,0)),VLOOKUP(LEFT(D65,3),'Material editor'!$D$11:$H$110,'Material editor'!$F$8,0),"")</f>
        <v>496.23211201094273</v>
      </c>
      <c r="I65" s="137">
        <f>IF(ISNUMBER(VLOOKUP(LEFT(D65,3),'Material editor'!$D$11:$H$110,'Material editor'!$G$8,0)),VLOOKUP(LEFT(D65,3),'Material editor'!$D$11:$H$110,'Material editor'!$G$8,0),"")</f>
        <v>103.94883076360401</v>
      </c>
      <c r="J65" s="137">
        <f>IF(ISNUMBER(VLOOKUP(LEFT(D65,3),'Material editor'!$D$11:$H$110,'Material editor'!$H$8,0)),VLOOKUP(LEFT(D65,3),'Material editor'!$D$11:$H$110,'Material editor'!$H$8,0),"")</f>
        <v>40</v>
      </c>
      <c r="K65" s="418"/>
      <c r="L65" s="407"/>
      <c r="M65" s="94"/>
      <c r="N65" s="136" t="str">
        <f>IF(ISNUMBER(VLOOKUP(LEFT(K65,3),'Material editor'!$D$11:$H$110,'Material editor'!$E$8,0)),VLOOKUP(LEFT(K65,3),'Material editor'!$D$11:$H$110,'Material editor'!$E$8,0),"")</f>
        <v/>
      </c>
      <c r="O65" s="137" t="str">
        <f>IF(ISNUMBER(VLOOKUP(LEFT(K65,3),'Material editor'!$D$11:$H$110,'Material editor'!$F$8,0)),VLOOKUP(LEFT(K65,3),'Material editor'!$D$11:$H$110,'Material editor'!$F$8,0),"")</f>
        <v/>
      </c>
      <c r="P65" s="137" t="str">
        <f>IF(ISNUMBER(VLOOKUP(LEFT(K65,3),'Material editor'!$D$11:$H$110,'Material editor'!$G$8,0)),VLOOKUP(LEFT(K65,3),'Material editor'!$D$11:$H$110,'Material editor'!$G$8,0),"")</f>
        <v/>
      </c>
      <c r="Q65" s="137" t="str">
        <f>IF(ISNUMBER(VLOOKUP(LEFT(K65,3),'Material editor'!$D$11:$H$110,'Material editor'!$H$8,0)),VLOOKUP(LEFT(K65,3),'Material editor'!$D$11:$H$110,'Material editor'!$H$8,0),"")</f>
        <v/>
      </c>
      <c r="R65" s="418"/>
      <c r="S65" s="407"/>
      <c r="T65" s="94"/>
      <c r="U65" s="136" t="str">
        <f>IF(ISNUMBER(VLOOKUP(LEFT(R65,3),'Material editor'!$D$11:$H$110,'Material editor'!$E$8,0)),VLOOKUP(LEFT(R65,3),'Material editor'!$D$11:$H$110,'Material editor'!$E$8,0),"")</f>
        <v/>
      </c>
      <c r="V65" s="137" t="str">
        <f>IF(ISNUMBER(VLOOKUP(LEFT(R65,3),'Material editor'!$D$11:$H$110,'Material editor'!$F$8,0)),VLOOKUP(LEFT(R65,3),'Material editor'!$D$11:$H$110,'Material editor'!$F$8,0),"")</f>
        <v/>
      </c>
      <c r="W65" s="137" t="str">
        <f>IF(ISNUMBER(VLOOKUP(LEFT(R65,3),'Material editor'!$D$11:$H$110,'Material editor'!$G$8,0)),VLOOKUP(LEFT(R65,3),'Material editor'!$D$11:$H$110,'Material editor'!$G$8,0),"")</f>
        <v/>
      </c>
      <c r="X65" s="137" t="str">
        <f>IF(ISNUMBER(VLOOKUP(LEFT(R65,3),'Material editor'!$D$11:$H$110,'Material editor'!$H$8,0)),VLOOKUP(LEFT(R65,3),'Material editor'!$D$11:$H$110,'Material editor'!$H$8,0),"")</f>
        <v/>
      </c>
      <c r="Y65" s="74"/>
      <c r="Z65" s="94">
        <v>4</v>
      </c>
      <c r="AA65" s="8"/>
      <c r="AB65" s="61"/>
      <c r="AC65" s="65"/>
      <c r="AD65" s="65"/>
      <c r="AE65" s="95">
        <f t="shared" si="44"/>
        <v>5.7142857142857151E-3</v>
      </c>
      <c r="AF65" s="95">
        <f t="shared" si="45"/>
        <v>5.7142857142857151E-3</v>
      </c>
      <c r="AG65" s="95">
        <f t="shared" si="46"/>
        <v>5.7142857142857151E-3</v>
      </c>
      <c r="AH65" s="65"/>
      <c r="AI65" s="95">
        <f t="shared" si="47"/>
        <v>0.7</v>
      </c>
      <c r="AJ65" s="95">
        <f t="shared" si="48"/>
        <v>0.7</v>
      </c>
      <c r="AK65" s="95">
        <f t="shared" si="49"/>
        <v>0.7</v>
      </c>
      <c r="AL65" s="65"/>
      <c r="AM65" s="96">
        <f t="shared" ref="AM65:AO65" si="55">AM64</f>
        <v>0.80400000000000005</v>
      </c>
      <c r="AN65" s="96">
        <f t="shared" si="55"/>
        <v>9.6000000000000002E-2</v>
      </c>
      <c r="AO65" s="96">
        <f t="shared" si="55"/>
        <v>0.1</v>
      </c>
      <c r="AP65" s="65">
        <f t="shared" si="50"/>
        <v>5.7142857142857151E-3</v>
      </c>
      <c r="AQ65" s="65"/>
      <c r="AR65" s="65"/>
      <c r="AS65" s="65"/>
      <c r="AT65" s="95">
        <f>IF(ISNUMBER(H65),H65*F65*Z65/1000*Balance!$H$13/J65,0)</f>
        <v>0.9924642240218855</v>
      </c>
      <c r="AU65" s="95">
        <f>IF(ISTEXT(K65),IF(ISNUMBER(O65),O65*M65*Z65/1000*Balance!$H$13/Q65,0),AT65)</f>
        <v>0.9924642240218855</v>
      </c>
      <c r="AV65" s="95">
        <f>IF(ISTEXT(R65),IF(ISNUMBER(V65),V65*T65*Z65/1000*Balance!$H$13/X65,0),AT65)</f>
        <v>0.9924642240218855</v>
      </c>
      <c r="AW65" s="65"/>
      <c r="AX65" s="95">
        <f>AT65*AX60</f>
        <v>0.79794123611359602</v>
      </c>
      <c r="AY65" s="95">
        <f>AU65*AY60</f>
        <v>9.5276565506101016E-2</v>
      </c>
      <c r="AZ65" s="95">
        <f>AV65*AZ60</f>
        <v>9.9246422402188561E-2</v>
      </c>
      <c r="BA65" s="95">
        <f t="shared" si="52"/>
        <v>0.9924642240218855</v>
      </c>
      <c r="BB65" s="65"/>
      <c r="BC65" s="95">
        <f>IF(ISNUMBER(I65),I65*F65*Z65/1000*Balance!$H$13/J65,0)</f>
        <v>0.20789766152720804</v>
      </c>
      <c r="BD65" s="95">
        <f>IF(ISTEXT(K65),IF(ISNUMBER(P65),P65*M65*Z65/1000*Balance!$H$13/Q65,0),BC65)</f>
        <v>0.20789766152720804</v>
      </c>
      <c r="BE65" s="95">
        <f>IF(ISTEXT(R65),IF(ISNUMBER(W65),W65*T65*Z65/1000*Balance!$H$13/X65,0),BC65)</f>
        <v>0.20789766152720804</v>
      </c>
      <c r="BF65" s="65"/>
      <c r="BG65" s="95">
        <f>BC65*BG60</f>
        <v>0.16714971986787527</v>
      </c>
      <c r="BH65" s="95">
        <f>BD65*BH60</f>
        <v>1.9958175506611973E-2</v>
      </c>
      <c r="BI65" s="95">
        <f>BE65*BI60</f>
        <v>2.0789766152720806E-2</v>
      </c>
      <c r="BJ65" s="95">
        <f t="shared" si="53"/>
        <v>0.20789766152720804</v>
      </c>
      <c r="BK65" s="65"/>
      <c r="BL65" s="65"/>
      <c r="BM65" s="361" t="str">
        <f>'Material editor'!C69</f>
        <v>207-;  kg/m³;  W/(mK);  years</v>
      </c>
    </row>
    <row r="66" spans="1:65" ht="15" customHeight="1" outlineLevel="1" x14ac:dyDescent="0.25">
      <c r="A66" s="61"/>
      <c r="B66" s="272"/>
      <c r="C66" s="91"/>
      <c r="D66" s="418" t="s">
        <v>1027</v>
      </c>
      <c r="E66" s="419"/>
      <c r="F66" s="94">
        <v>1</v>
      </c>
      <c r="G66" s="136">
        <f>IF(ISNUMBER(VLOOKUP(LEFT(D66,3),'Material editor'!$D$11:$H$110,'Material editor'!$E$8,0)),VLOOKUP(LEFT(D66,3),'Material editor'!$D$11:$H$110,'Material editor'!$E$8,0),"")</f>
        <v>1</v>
      </c>
      <c r="H66" s="137">
        <f>IF(ISNUMBER(VLOOKUP(LEFT(D66,3),'Material editor'!$D$11:$H$110,'Material editor'!$F$8,0)),VLOOKUP(LEFT(D66,3),'Material editor'!$D$11:$H$110,'Material editor'!$F$8,0),"")</f>
        <v>905.22046069906946</v>
      </c>
      <c r="I66" s="137">
        <f>IF(ISNUMBER(VLOOKUP(LEFT(D66,3),'Material editor'!$D$11:$H$110,'Material editor'!$G$8,0)),VLOOKUP(LEFT(D66,3),'Material editor'!$D$11:$H$110,'Material editor'!$G$8,0),"")</f>
        <v>354.91241395986202</v>
      </c>
      <c r="J66" s="137">
        <f>IF(ISNUMBER(VLOOKUP(LEFT(D66,3),'Material editor'!$D$11:$H$110,'Material editor'!$H$8,0)),VLOOKUP(LEFT(D66,3),'Material editor'!$D$11:$H$110,'Material editor'!$H$8,0),"")</f>
        <v>40</v>
      </c>
      <c r="K66" s="418"/>
      <c r="L66" s="407"/>
      <c r="M66" s="94"/>
      <c r="N66" s="136" t="str">
        <f>IF(ISNUMBER(VLOOKUP(LEFT(K66,3),'Material editor'!$D$11:$H$110,'Material editor'!$E$8,0)),VLOOKUP(LEFT(K66,3),'Material editor'!$D$11:$H$110,'Material editor'!$E$8,0),"")</f>
        <v/>
      </c>
      <c r="O66" s="137" t="str">
        <f>IF(ISNUMBER(VLOOKUP(LEFT(K66,3),'Material editor'!$D$11:$H$110,'Material editor'!$F$8,0)),VLOOKUP(LEFT(K66,3),'Material editor'!$D$11:$H$110,'Material editor'!$F$8,0),"")</f>
        <v/>
      </c>
      <c r="P66" s="137" t="str">
        <f>IF(ISNUMBER(VLOOKUP(LEFT(K66,3),'Material editor'!$D$11:$H$110,'Material editor'!$G$8,0)),VLOOKUP(LEFT(K66,3),'Material editor'!$D$11:$H$110,'Material editor'!$G$8,0),"")</f>
        <v/>
      </c>
      <c r="Q66" s="137" t="str">
        <f>IF(ISNUMBER(VLOOKUP(LEFT(K66,3),'Material editor'!$D$11:$H$110,'Material editor'!$H$8,0)),VLOOKUP(LEFT(K66,3),'Material editor'!$D$11:$H$110,'Material editor'!$H$8,0),"")</f>
        <v/>
      </c>
      <c r="R66" s="418"/>
      <c r="S66" s="407"/>
      <c r="T66" s="94"/>
      <c r="U66" s="136" t="str">
        <f>IF(ISNUMBER(VLOOKUP(LEFT(R66,3),'Material editor'!$D$11:$H$110,'Material editor'!$E$8,0)),VLOOKUP(LEFT(R66,3),'Material editor'!$D$11:$H$110,'Material editor'!$E$8,0),"")</f>
        <v/>
      </c>
      <c r="V66" s="137" t="str">
        <f>IF(ISNUMBER(VLOOKUP(LEFT(R66,3),'Material editor'!$D$11:$H$110,'Material editor'!$F$8,0)),VLOOKUP(LEFT(R66,3),'Material editor'!$D$11:$H$110,'Material editor'!$F$8,0),"")</f>
        <v/>
      </c>
      <c r="W66" s="137" t="str">
        <f>IF(ISNUMBER(VLOOKUP(LEFT(R66,3),'Material editor'!$D$11:$H$110,'Material editor'!$G$8,0)),VLOOKUP(LEFT(R66,3),'Material editor'!$D$11:$H$110,'Material editor'!$G$8,0),"")</f>
        <v/>
      </c>
      <c r="X66" s="137" t="str">
        <f>IF(ISNUMBER(VLOOKUP(LEFT(R66,3),'Material editor'!$D$11:$H$110,'Material editor'!$H$8,0)),VLOOKUP(LEFT(R66,3),'Material editor'!$D$11:$H$110,'Material editor'!$H$8,0),"")</f>
        <v/>
      </c>
      <c r="Y66" s="74"/>
      <c r="Z66" s="94">
        <v>20</v>
      </c>
      <c r="AA66" s="8"/>
      <c r="AB66" s="61"/>
      <c r="AC66" s="65"/>
      <c r="AD66" s="65"/>
      <c r="AE66" s="95">
        <f t="shared" si="44"/>
        <v>0.02</v>
      </c>
      <c r="AF66" s="95">
        <f t="shared" si="45"/>
        <v>0.02</v>
      </c>
      <c r="AG66" s="95">
        <f t="shared" si="46"/>
        <v>0.02</v>
      </c>
      <c r="AH66" s="65"/>
      <c r="AI66" s="95">
        <f t="shared" si="47"/>
        <v>1</v>
      </c>
      <c r="AJ66" s="95">
        <f t="shared" si="48"/>
        <v>1</v>
      </c>
      <c r="AK66" s="95">
        <f t="shared" si="49"/>
        <v>1</v>
      </c>
      <c r="AL66" s="65"/>
      <c r="AM66" s="96">
        <f t="shared" ref="AM66:AO66" si="56">AM65</f>
        <v>0.80400000000000005</v>
      </c>
      <c r="AN66" s="96">
        <f t="shared" si="56"/>
        <v>9.6000000000000002E-2</v>
      </c>
      <c r="AO66" s="96">
        <f t="shared" si="56"/>
        <v>0.1</v>
      </c>
      <c r="AP66" s="65">
        <f t="shared" si="50"/>
        <v>0.02</v>
      </c>
      <c r="AQ66" s="65"/>
      <c r="AR66" s="65"/>
      <c r="AS66" s="65"/>
      <c r="AT66" s="95">
        <f>IF(ISNUMBER(H66),H66*F66*Z66/1000*Balance!$H$13/J66,0)</f>
        <v>9.0522046069906938</v>
      </c>
      <c r="AU66" s="95">
        <f>IF(ISTEXT(K66),IF(ISNUMBER(O66),O66*M66*Z66/1000*Balance!$H$13/Q66,0),AT66)</f>
        <v>9.0522046069906938</v>
      </c>
      <c r="AV66" s="95">
        <f>IF(ISTEXT(R66),IF(ISNUMBER(V66),V66*T66*Z66/1000*Balance!$H$13/X66,0),AT66)</f>
        <v>9.0522046069906938</v>
      </c>
      <c r="AW66" s="65"/>
      <c r="AX66" s="95">
        <f>AT66*AX60</f>
        <v>7.2779725040205179</v>
      </c>
      <c r="AY66" s="95">
        <f>AU66*AY60</f>
        <v>0.86901164227110661</v>
      </c>
      <c r="AZ66" s="95">
        <f>AV66*AZ60</f>
        <v>0.90522046069906947</v>
      </c>
      <c r="BA66" s="95">
        <f t="shared" si="52"/>
        <v>9.0522046069906938</v>
      </c>
      <c r="BB66" s="65"/>
      <c r="BC66" s="95">
        <f>IF(ISNUMBER(I66),I66*F66*Z66/1000*Balance!$H$13/J66,0)</f>
        <v>3.5491241395986202</v>
      </c>
      <c r="BD66" s="95">
        <f>IF(ISTEXT(K66),IF(ISNUMBER(P66),P66*M66*Z66/1000*Balance!$H$13/Q66,0),BC66)</f>
        <v>3.5491241395986202</v>
      </c>
      <c r="BE66" s="95">
        <f>IF(ISTEXT(R66),IF(ISNUMBER(W66),W66*T66*Z66/1000*Balance!$H$13/X66,0),BC66)</f>
        <v>3.5491241395986202</v>
      </c>
      <c r="BF66" s="65"/>
      <c r="BG66" s="95">
        <f>BC66*BG60</f>
        <v>2.853495808237291</v>
      </c>
      <c r="BH66" s="95">
        <f>BD66*BH60</f>
        <v>0.34071591740146756</v>
      </c>
      <c r="BI66" s="95">
        <f>BE66*BI60</f>
        <v>0.35491241395986206</v>
      </c>
      <c r="BJ66" s="95">
        <f t="shared" si="53"/>
        <v>3.5491241395986206</v>
      </c>
      <c r="BK66" s="65"/>
      <c r="BL66" s="65"/>
      <c r="BM66" s="361" t="str">
        <f>'Material editor'!C70</f>
        <v>208-;  kg/m³;  W/(mK);  years</v>
      </c>
    </row>
    <row r="67" spans="1:65" ht="15" customHeight="1" outlineLevel="1" x14ac:dyDescent="0.25">
      <c r="A67" s="61"/>
      <c r="B67" s="272"/>
      <c r="C67" s="91"/>
      <c r="D67" s="418"/>
      <c r="E67" s="419"/>
      <c r="F67" s="94"/>
      <c r="G67" s="136" t="str">
        <f>IF(ISNUMBER(VLOOKUP(LEFT(D67,3),'Material editor'!$D$11:$H$110,'Material editor'!$E$8,0)),VLOOKUP(LEFT(D67,3),'Material editor'!$D$11:$H$110,'Material editor'!$E$8,0),"")</f>
        <v/>
      </c>
      <c r="H67" s="137" t="str">
        <f>IF(ISNUMBER(VLOOKUP(LEFT(D67,3),'Material editor'!$D$11:$H$110,'Material editor'!$F$8,0)),VLOOKUP(LEFT(D67,3),'Material editor'!$D$11:$H$110,'Material editor'!$F$8,0),"")</f>
        <v/>
      </c>
      <c r="I67" s="137" t="str">
        <f>IF(ISNUMBER(VLOOKUP(LEFT(D67,3),'Material editor'!$D$11:$H$110,'Material editor'!$G$8,0)),VLOOKUP(LEFT(D67,3),'Material editor'!$D$11:$H$110,'Material editor'!$G$8,0),"")</f>
        <v/>
      </c>
      <c r="J67" s="137" t="str">
        <f>IF(ISNUMBER(VLOOKUP(LEFT(D67,3),'Material editor'!$D$11:$H$110,'Material editor'!$H$8,0)),VLOOKUP(LEFT(D67,3),'Material editor'!$D$11:$H$110,'Material editor'!$H$8,0),"")</f>
        <v/>
      </c>
      <c r="K67" s="418"/>
      <c r="L67" s="407"/>
      <c r="M67" s="94"/>
      <c r="N67" s="136" t="str">
        <f>IF(ISNUMBER(VLOOKUP(LEFT(K67,3),'Material editor'!$D$11:$H$110,'Material editor'!$E$8,0)),VLOOKUP(LEFT(K67,3),'Material editor'!$D$11:$H$110,'Material editor'!$E$8,0),"")</f>
        <v/>
      </c>
      <c r="O67" s="137" t="str">
        <f>IF(ISNUMBER(VLOOKUP(LEFT(K67,3),'Material editor'!$D$11:$H$110,'Material editor'!$F$8,0)),VLOOKUP(LEFT(K67,3),'Material editor'!$D$11:$H$110,'Material editor'!$F$8,0),"")</f>
        <v/>
      </c>
      <c r="P67" s="137" t="str">
        <f>IF(ISNUMBER(VLOOKUP(LEFT(K67,3),'Material editor'!$D$11:$H$110,'Material editor'!$G$8,0)),VLOOKUP(LEFT(K67,3),'Material editor'!$D$11:$H$110,'Material editor'!$G$8,0),"")</f>
        <v/>
      </c>
      <c r="Q67" s="137" t="str">
        <f>IF(ISNUMBER(VLOOKUP(LEFT(K67,3),'Material editor'!$D$11:$H$110,'Material editor'!$H$8,0)),VLOOKUP(LEFT(K67,3),'Material editor'!$D$11:$H$110,'Material editor'!$H$8,0),"")</f>
        <v/>
      </c>
      <c r="R67" s="418"/>
      <c r="S67" s="407"/>
      <c r="T67" s="94"/>
      <c r="U67" s="136" t="str">
        <f>IF(ISNUMBER(VLOOKUP(LEFT(R67,3),'Material editor'!$D$11:$H$110,'Material editor'!$E$8,0)),VLOOKUP(LEFT(R67,3),'Material editor'!$D$11:$H$110,'Material editor'!$E$8,0),"")</f>
        <v/>
      </c>
      <c r="V67" s="137" t="str">
        <f>IF(ISNUMBER(VLOOKUP(LEFT(R67,3),'Material editor'!$D$11:$H$110,'Material editor'!$F$8,0)),VLOOKUP(LEFT(R67,3),'Material editor'!$D$11:$H$110,'Material editor'!$F$8,0),"")</f>
        <v/>
      </c>
      <c r="W67" s="137" t="str">
        <f>IF(ISNUMBER(VLOOKUP(LEFT(R67,3),'Material editor'!$D$11:$H$110,'Material editor'!$G$8,0)),VLOOKUP(LEFT(R67,3),'Material editor'!$D$11:$H$110,'Material editor'!$G$8,0),"")</f>
        <v/>
      </c>
      <c r="X67" s="137" t="str">
        <f>IF(ISNUMBER(VLOOKUP(LEFT(R67,3),'Material editor'!$D$11:$H$110,'Material editor'!$H$8,0)),VLOOKUP(LEFT(R67,3),'Material editor'!$D$11:$H$110,'Material editor'!$H$8,0),"")</f>
        <v/>
      </c>
      <c r="Y67" s="74"/>
      <c r="Z67" s="94"/>
      <c r="AA67" s="8"/>
      <c r="AB67" s="61"/>
      <c r="AC67" s="65"/>
      <c r="AD67" s="65"/>
      <c r="AE67" s="95">
        <f t="shared" si="44"/>
        <v>0</v>
      </c>
      <c r="AF67" s="95">
        <f t="shared" si="45"/>
        <v>0</v>
      </c>
      <c r="AG67" s="95">
        <f t="shared" si="46"/>
        <v>0</v>
      </c>
      <c r="AH67" s="65"/>
      <c r="AI67" s="95">
        <f t="shared" si="47"/>
        <v>0</v>
      </c>
      <c r="AJ67" s="95">
        <f t="shared" si="48"/>
        <v>0</v>
      </c>
      <c r="AK67" s="95">
        <f t="shared" si="49"/>
        <v>0</v>
      </c>
      <c r="AL67" s="65"/>
      <c r="AM67" s="96">
        <f t="shared" ref="AM67:AO67" si="57">AM66</f>
        <v>0.80400000000000005</v>
      </c>
      <c r="AN67" s="96">
        <f t="shared" si="57"/>
        <v>9.6000000000000002E-2</v>
      </c>
      <c r="AO67" s="96">
        <f t="shared" si="57"/>
        <v>0.1</v>
      </c>
      <c r="AP67" s="65">
        <f t="shared" si="50"/>
        <v>0</v>
      </c>
      <c r="AQ67" s="65"/>
      <c r="AR67" s="65"/>
      <c r="AS67" s="66"/>
      <c r="AT67" s="95">
        <f>IF(ISNUMBER(H67),H67*F67*Z67/1000*Balance!$H$13/J67,0)</f>
        <v>0</v>
      </c>
      <c r="AU67" s="95">
        <f>IF(ISTEXT(K67),IF(ISNUMBER(O67),O67*M67*Z67/1000*Balance!$H$13/Q67,0),AT67)</f>
        <v>0</v>
      </c>
      <c r="AV67" s="95">
        <f>IF(ISTEXT(R67),IF(ISNUMBER(V67),V67*T67*Z67/1000*Balance!$H$13/X67,0),AT67)</f>
        <v>0</v>
      </c>
      <c r="AW67" s="66"/>
      <c r="AX67" s="95">
        <f>AT67*AX60</f>
        <v>0</v>
      </c>
      <c r="AY67" s="95">
        <f>AU67*AY60</f>
        <v>0</v>
      </c>
      <c r="AZ67" s="95">
        <f>AV67*AZ60</f>
        <v>0</v>
      </c>
      <c r="BA67" s="95">
        <f t="shared" si="52"/>
        <v>0</v>
      </c>
      <c r="BB67" s="66"/>
      <c r="BC67" s="95">
        <f>IF(ISNUMBER(I67),I67*F67*Z67/1000*Balance!$H$13/J67,0)</f>
        <v>0</v>
      </c>
      <c r="BD67" s="95">
        <f>IF(ISTEXT(K67),IF(ISNUMBER(P67),P67*M67*Z67/1000*Balance!$H$13/Q67,0),BC67)</f>
        <v>0</v>
      </c>
      <c r="BE67" s="95">
        <f>IF(ISTEXT(R67),IF(ISNUMBER(W67),W67*T67*Z67/1000*Balance!$H$13/X67,0),BC67)</f>
        <v>0</v>
      </c>
      <c r="BF67" s="66"/>
      <c r="BG67" s="95">
        <f>BC67*BG60</f>
        <v>0</v>
      </c>
      <c r="BH67" s="95">
        <f>BD67*BH60</f>
        <v>0</v>
      </c>
      <c r="BI67" s="95">
        <f>BE67*BI60</f>
        <v>0</v>
      </c>
      <c r="BJ67" s="95">
        <f t="shared" si="53"/>
        <v>0</v>
      </c>
      <c r="BK67" s="66"/>
      <c r="BL67" s="66"/>
      <c r="BM67" s="361" t="str">
        <f>'Material editor'!C71</f>
        <v>209-;  kg/m³;  W/(mK);  years</v>
      </c>
    </row>
    <row r="68" spans="1:65" ht="15" customHeight="1" outlineLevel="1" x14ac:dyDescent="0.25">
      <c r="A68" s="61"/>
      <c r="B68" s="272"/>
      <c r="C68" s="91"/>
      <c r="D68" s="418"/>
      <c r="E68" s="419"/>
      <c r="F68" s="94"/>
      <c r="G68" s="136" t="str">
        <f>IF(ISNUMBER(VLOOKUP(LEFT(D68,3),'Material editor'!$D$11:$H$110,'Material editor'!$E$8,0)),VLOOKUP(LEFT(D68,3),'Material editor'!$D$11:$H$110,'Material editor'!$E$8,0),"")</f>
        <v/>
      </c>
      <c r="H68" s="137" t="str">
        <f>IF(ISNUMBER(VLOOKUP(LEFT(D68,3),'Material editor'!$D$11:$H$110,'Material editor'!$F$8,0)),VLOOKUP(LEFT(D68,3),'Material editor'!$D$11:$H$110,'Material editor'!$F$8,0),"")</f>
        <v/>
      </c>
      <c r="I68" s="137" t="str">
        <f>IF(ISNUMBER(VLOOKUP(LEFT(D68,3),'Material editor'!$D$11:$H$110,'Material editor'!$G$8,0)),VLOOKUP(LEFT(D68,3),'Material editor'!$D$11:$H$110,'Material editor'!$G$8,0),"")</f>
        <v/>
      </c>
      <c r="J68" s="137" t="str">
        <f>IF(ISNUMBER(VLOOKUP(LEFT(D68,3),'Material editor'!$D$11:$H$110,'Material editor'!$H$8,0)),VLOOKUP(LEFT(D68,3),'Material editor'!$D$11:$H$110,'Material editor'!$H$8,0),"")</f>
        <v/>
      </c>
      <c r="K68" s="418"/>
      <c r="L68" s="407"/>
      <c r="M68" s="94"/>
      <c r="N68" s="136" t="str">
        <f>IF(ISNUMBER(VLOOKUP(LEFT(K68,3),'Material editor'!$D$11:$H$110,'Material editor'!$E$8,0)),VLOOKUP(LEFT(K68,3),'Material editor'!$D$11:$H$110,'Material editor'!$E$8,0),"")</f>
        <v/>
      </c>
      <c r="O68" s="137" t="str">
        <f>IF(ISNUMBER(VLOOKUP(LEFT(K68,3),'Material editor'!$D$11:$H$110,'Material editor'!$F$8,0)),VLOOKUP(LEFT(K68,3),'Material editor'!$D$11:$H$110,'Material editor'!$F$8,0),"")</f>
        <v/>
      </c>
      <c r="P68" s="137" t="str">
        <f>IF(ISNUMBER(VLOOKUP(LEFT(K68,3),'Material editor'!$D$11:$H$110,'Material editor'!$G$8,0)),VLOOKUP(LEFT(K68,3),'Material editor'!$D$11:$H$110,'Material editor'!$G$8,0),"")</f>
        <v/>
      </c>
      <c r="Q68" s="137" t="str">
        <f>IF(ISNUMBER(VLOOKUP(LEFT(K68,3),'Material editor'!$D$11:$H$110,'Material editor'!$H$8,0)),VLOOKUP(LEFT(K68,3),'Material editor'!$D$11:$H$110,'Material editor'!$H$8,0),"")</f>
        <v/>
      </c>
      <c r="R68" s="418"/>
      <c r="S68" s="407"/>
      <c r="T68" s="94"/>
      <c r="U68" s="136" t="str">
        <f>IF(ISNUMBER(VLOOKUP(LEFT(R68,3),'Material editor'!$D$11:$H$110,'Material editor'!$E$8,0)),VLOOKUP(LEFT(R68,3),'Material editor'!$D$11:$H$110,'Material editor'!$E$8,0),"")</f>
        <v/>
      </c>
      <c r="V68" s="137" t="str">
        <f>IF(ISNUMBER(VLOOKUP(LEFT(R68,3),'Material editor'!$D$11:$H$110,'Material editor'!$F$8,0)),VLOOKUP(LEFT(R68,3),'Material editor'!$D$11:$H$110,'Material editor'!$F$8,0),"")</f>
        <v/>
      </c>
      <c r="W68" s="137" t="str">
        <f>IF(ISNUMBER(VLOOKUP(LEFT(R68,3),'Material editor'!$D$11:$H$110,'Material editor'!$G$8,0)),VLOOKUP(LEFT(R68,3),'Material editor'!$D$11:$H$110,'Material editor'!$G$8,0),"")</f>
        <v/>
      </c>
      <c r="X68" s="137" t="str">
        <f>IF(ISNUMBER(VLOOKUP(LEFT(R68,3),'Material editor'!$D$11:$H$110,'Material editor'!$H$8,0)),VLOOKUP(LEFT(R68,3),'Material editor'!$D$11:$H$110,'Material editor'!$H$8,0),"")</f>
        <v/>
      </c>
      <c r="Y68" s="74"/>
      <c r="Z68" s="94"/>
      <c r="AA68" s="8"/>
      <c r="AB68" s="61"/>
      <c r="AC68" s="65"/>
      <c r="AD68" s="65"/>
      <c r="AE68" s="95">
        <f t="shared" si="44"/>
        <v>0</v>
      </c>
      <c r="AF68" s="95">
        <f t="shared" si="45"/>
        <v>0</v>
      </c>
      <c r="AG68" s="95">
        <f t="shared" si="46"/>
        <v>0</v>
      </c>
      <c r="AH68" s="65"/>
      <c r="AI68" s="95">
        <f t="shared" si="47"/>
        <v>0</v>
      </c>
      <c r="AJ68" s="95">
        <f t="shared" si="48"/>
        <v>0</v>
      </c>
      <c r="AK68" s="95">
        <f t="shared" si="49"/>
        <v>0</v>
      </c>
      <c r="AL68" s="65"/>
      <c r="AM68" s="96">
        <f t="shared" ref="AM68:AO68" si="58">AM67</f>
        <v>0.80400000000000005</v>
      </c>
      <c r="AN68" s="96">
        <f t="shared" si="58"/>
        <v>9.6000000000000002E-2</v>
      </c>
      <c r="AO68" s="96">
        <f t="shared" si="58"/>
        <v>0.1</v>
      </c>
      <c r="AP68" s="65">
        <f t="shared" si="50"/>
        <v>0</v>
      </c>
      <c r="AQ68" s="65"/>
      <c r="AR68" s="65"/>
      <c r="AS68" s="66"/>
      <c r="AT68" s="95">
        <f>IF(ISNUMBER(H68),H68*F68*Z68/1000*Balance!$H$13/J68,0)</f>
        <v>0</v>
      </c>
      <c r="AU68" s="95">
        <f>IF(ISTEXT(K68),IF(ISNUMBER(O68),O68*M68*Z68/1000*Balance!$H$13/Q68,0),AT68)</f>
        <v>0</v>
      </c>
      <c r="AV68" s="95">
        <f>IF(ISTEXT(R68),IF(ISNUMBER(V68),V68*T68*Z68/1000*Balance!$H$13/X68,0),AT68)</f>
        <v>0</v>
      </c>
      <c r="AW68" s="66"/>
      <c r="AX68" s="95">
        <f>AT68*AX60</f>
        <v>0</v>
      </c>
      <c r="AY68" s="95">
        <f>AU68*AY60</f>
        <v>0</v>
      </c>
      <c r="AZ68" s="95">
        <f>AV68*AZ60</f>
        <v>0</v>
      </c>
      <c r="BA68" s="95">
        <f t="shared" si="52"/>
        <v>0</v>
      </c>
      <c r="BB68" s="66"/>
      <c r="BC68" s="95">
        <f>IF(ISNUMBER(I68),I68*F68*Z68/1000*Balance!$H$13/J68,0)</f>
        <v>0</v>
      </c>
      <c r="BD68" s="95">
        <f>IF(ISTEXT(K68),IF(ISNUMBER(P68),P68*M68*Z68/1000*Balance!$H$13/Q68,0),BC68)</f>
        <v>0</v>
      </c>
      <c r="BE68" s="95">
        <f>IF(ISTEXT(R68),IF(ISNUMBER(W68),W68*T68*Z68/1000*Balance!$H$13/X68,0),BC68)</f>
        <v>0</v>
      </c>
      <c r="BF68" s="66"/>
      <c r="BG68" s="95">
        <f>BC68*BG60</f>
        <v>0</v>
      </c>
      <c r="BH68" s="95">
        <f>BD68*BH60</f>
        <v>0</v>
      </c>
      <c r="BI68" s="95">
        <f>BE68*BI60</f>
        <v>0</v>
      </c>
      <c r="BJ68" s="95">
        <f t="shared" si="53"/>
        <v>0</v>
      </c>
      <c r="BK68" s="66"/>
      <c r="BL68" s="66"/>
      <c r="BM68" s="361" t="str">
        <f>'Material editor'!C72</f>
        <v>210-;  kg/m³;  W/(mK);  years</v>
      </c>
    </row>
    <row r="69" spans="1:65" ht="15" customHeight="1" outlineLevel="1" x14ac:dyDescent="0.25">
      <c r="A69" s="61"/>
      <c r="B69" s="272"/>
      <c r="C69" s="91"/>
      <c r="D69" s="423"/>
      <c r="E69" s="424"/>
      <c r="F69" s="94"/>
      <c r="G69" s="136" t="str">
        <f>IF(ISNUMBER(VLOOKUP(LEFT(D69,3),'Material editor'!$D$11:$H$110,'Material editor'!$E$8,0)),VLOOKUP(LEFT(D69,3),'Material editor'!$D$11:$H$110,'Material editor'!$E$8,0),"")</f>
        <v/>
      </c>
      <c r="H69" s="137" t="str">
        <f>IF(ISNUMBER(VLOOKUP(LEFT(D69,3),'Material editor'!$D$11:$H$110,'Material editor'!$F$8,0)),VLOOKUP(LEFT(D69,3),'Material editor'!$D$11:$H$110,'Material editor'!$F$8,0),"")</f>
        <v/>
      </c>
      <c r="I69" s="137" t="str">
        <f>IF(ISNUMBER(VLOOKUP(LEFT(D69,3),'Material editor'!$D$11:$H$110,'Material editor'!$G$8,0)),VLOOKUP(LEFT(D69,3),'Material editor'!$D$11:$H$110,'Material editor'!$G$8,0),"")</f>
        <v/>
      </c>
      <c r="J69" s="137" t="str">
        <f>IF(ISNUMBER(VLOOKUP(LEFT(D69,3),'Material editor'!$D$11:$H$110,'Material editor'!$H$8,0)),VLOOKUP(LEFT(D69,3),'Material editor'!$D$11:$H$110,'Material editor'!$H$8,0),"")</f>
        <v/>
      </c>
      <c r="K69" s="418"/>
      <c r="L69" s="407"/>
      <c r="M69" s="94"/>
      <c r="N69" s="136" t="str">
        <f>IF(ISNUMBER(VLOOKUP(LEFT(K69,3),'Material editor'!$D$11:$H$110,'Material editor'!$E$8,0)),VLOOKUP(LEFT(K69,3),'Material editor'!$D$11:$H$110,'Material editor'!$E$8,0),"")</f>
        <v/>
      </c>
      <c r="O69" s="137" t="str">
        <f>IF(ISNUMBER(VLOOKUP(LEFT(K69,3),'Material editor'!$D$11:$H$110,'Material editor'!$F$8,0)),VLOOKUP(LEFT(K69,3),'Material editor'!$D$11:$H$110,'Material editor'!$F$8,0),"")</f>
        <v/>
      </c>
      <c r="P69" s="137" t="str">
        <f>IF(ISNUMBER(VLOOKUP(LEFT(K69,3),'Material editor'!$D$11:$H$110,'Material editor'!$G$8,0)),VLOOKUP(LEFT(K69,3),'Material editor'!$D$11:$H$110,'Material editor'!$G$8,0),"")</f>
        <v/>
      </c>
      <c r="Q69" s="137" t="str">
        <f>IF(ISNUMBER(VLOOKUP(LEFT(K69,3),'Material editor'!$D$11:$H$110,'Material editor'!$H$8,0)),VLOOKUP(LEFT(K69,3),'Material editor'!$D$11:$H$110,'Material editor'!$H$8,0),"")</f>
        <v/>
      </c>
      <c r="R69" s="418"/>
      <c r="S69" s="407"/>
      <c r="T69" s="94"/>
      <c r="U69" s="136" t="str">
        <f>IF(ISNUMBER(VLOOKUP(LEFT(R69,3),'Material editor'!$D$11:$H$110,'Material editor'!$E$8,0)),VLOOKUP(LEFT(R69,3),'Material editor'!$D$11:$H$110,'Material editor'!$E$8,0),"")</f>
        <v/>
      </c>
      <c r="V69" s="137" t="str">
        <f>IF(ISNUMBER(VLOOKUP(LEFT(R69,3),'Material editor'!$D$11:$H$110,'Material editor'!$F$8,0)),VLOOKUP(LEFT(R69,3),'Material editor'!$D$11:$H$110,'Material editor'!$F$8,0),"")</f>
        <v/>
      </c>
      <c r="W69" s="137" t="str">
        <f>IF(ISNUMBER(VLOOKUP(LEFT(R69,3),'Material editor'!$D$11:$H$110,'Material editor'!$G$8,0)),VLOOKUP(LEFT(R69,3),'Material editor'!$D$11:$H$110,'Material editor'!$G$8,0),"")</f>
        <v/>
      </c>
      <c r="X69" s="137" t="str">
        <f>IF(ISNUMBER(VLOOKUP(LEFT(R69,3),'Material editor'!$D$11:$H$110,'Material editor'!$H$8,0)),VLOOKUP(LEFT(R69,3),'Material editor'!$D$11:$H$110,'Material editor'!$H$8,0),"")</f>
        <v/>
      </c>
      <c r="Y69" s="74"/>
      <c r="Z69" s="94"/>
      <c r="AA69" s="8"/>
      <c r="AB69" s="61"/>
      <c r="AC69" s="65"/>
      <c r="AD69" s="65"/>
      <c r="AE69" s="95">
        <f t="shared" si="44"/>
        <v>0</v>
      </c>
      <c r="AF69" s="95">
        <f t="shared" si="45"/>
        <v>0</v>
      </c>
      <c r="AG69" s="95">
        <f t="shared" si="46"/>
        <v>0</v>
      </c>
      <c r="AH69" s="65"/>
      <c r="AI69" s="95">
        <f>IF(ISNUMBER(G69),G69,0)</f>
        <v>0</v>
      </c>
      <c r="AJ69" s="95">
        <f t="shared" si="48"/>
        <v>0</v>
      </c>
      <c r="AK69" s="95">
        <f t="shared" si="49"/>
        <v>0</v>
      </c>
      <c r="AL69" s="65"/>
      <c r="AM69" s="96">
        <f t="shared" ref="AM69:AO69" si="59">AM68</f>
        <v>0.80400000000000005</v>
      </c>
      <c r="AN69" s="96">
        <f t="shared" si="59"/>
        <v>9.6000000000000002E-2</v>
      </c>
      <c r="AO69" s="96">
        <f t="shared" si="59"/>
        <v>0.1</v>
      </c>
      <c r="AP69" s="65">
        <f t="shared" si="50"/>
        <v>0</v>
      </c>
      <c r="AQ69" s="65"/>
      <c r="AR69" s="65"/>
      <c r="AS69" s="66"/>
      <c r="AT69" s="95">
        <f>IF(ISNUMBER(H69),H69*F69*Z69/1000*Balance!$H$13/J69,0)</f>
        <v>0</v>
      </c>
      <c r="AU69" s="95">
        <f>IF(ISTEXT(K69),IF(ISNUMBER(O69),O69*M69*Z69/1000*Balance!$H$13/Q69,0),AT69)</f>
        <v>0</v>
      </c>
      <c r="AV69" s="95">
        <f>IF(ISTEXT(R69),IF(ISNUMBER(V69),V69*T69*Z69/1000*Balance!$H$13/X69,0),AT69)</f>
        <v>0</v>
      </c>
      <c r="AW69" s="66"/>
      <c r="AX69" s="95">
        <f>AT69*AX60</f>
        <v>0</v>
      </c>
      <c r="AY69" s="95">
        <f>AU69*AY60</f>
        <v>0</v>
      </c>
      <c r="AZ69" s="95">
        <f>AV69*AZ60</f>
        <v>0</v>
      </c>
      <c r="BA69" s="95">
        <f t="shared" si="52"/>
        <v>0</v>
      </c>
      <c r="BB69" s="66"/>
      <c r="BC69" s="95">
        <f>IF(ISNUMBER(I69),I69*F69*Z69/1000*Balance!$H$13/J69,0)</f>
        <v>0</v>
      </c>
      <c r="BD69" s="95">
        <f>IF(ISTEXT(K69),IF(ISNUMBER(P69),P69*M69*Z69/1000*Balance!$H$13/Q69,0),BC69)</f>
        <v>0</v>
      </c>
      <c r="BE69" s="95">
        <f>IF(ISTEXT(R69),IF(ISNUMBER(W69),W69*T69*Z69/1000*Balance!$H$13/X69,0),BC69)</f>
        <v>0</v>
      </c>
      <c r="BF69" s="66"/>
      <c r="BG69" s="95">
        <f>BC69*BG60</f>
        <v>0</v>
      </c>
      <c r="BH69" s="95">
        <f>BD69*BH60</f>
        <v>0</v>
      </c>
      <c r="BI69" s="95">
        <f>BE69*BI60</f>
        <v>0</v>
      </c>
      <c r="BJ69" s="95">
        <f t="shared" si="53"/>
        <v>0</v>
      </c>
      <c r="BK69" s="66"/>
      <c r="BL69" s="66"/>
      <c r="BM69" s="361" t="str">
        <f>'Material editor'!C73</f>
        <v>300-Soft Timber for windows</v>
      </c>
    </row>
    <row r="70" spans="1:65" ht="15" customHeight="1" outlineLevel="1" x14ac:dyDescent="0.25">
      <c r="A70" s="61"/>
      <c r="B70" s="272"/>
      <c r="C70" s="77"/>
      <c r="D70" s="359">
        <f>MAX(0,1-K70-R70)</f>
        <v>0.80400000000000005</v>
      </c>
      <c r="E70" s="126" t="s">
        <v>141</v>
      </c>
      <c r="F70" s="126"/>
      <c r="H70" s="97"/>
      <c r="I70" s="97"/>
      <c r="J70" s="97"/>
      <c r="K70" s="100">
        <f>6/62.5</f>
        <v>9.6000000000000002E-2</v>
      </c>
      <c r="L70" s="126" t="s">
        <v>138</v>
      </c>
      <c r="M70" s="126"/>
      <c r="R70" s="100">
        <v>0.1</v>
      </c>
      <c r="S70" s="126" t="s">
        <v>139</v>
      </c>
      <c r="T70" s="126"/>
      <c r="V70" s="67"/>
      <c r="Y70" s="74"/>
      <c r="Z70" s="5" t="s">
        <v>140</v>
      </c>
      <c r="AA70" s="8"/>
      <c r="AB70" s="61"/>
      <c r="AC70" s="98"/>
      <c r="AD70" s="98" t="s">
        <v>124</v>
      </c>
      <c r="AE70" s="99">
        <f>IF(ISNUMBER($G62),1/($D57+SUM(AE62:AE69)+$D58),0)</f>
        <v>0.12660644487093178</v>
      </c>
      <c r="AF70" s="99">
        <f>IF(ISNUMBER($G62),1/($D57+SUM(AF62:AF69)+$D58),0)</f>
        <v>0.12660644487093178</v>
      </c>
      <c r="AG70" s="99">
        <f>IF(ISNUMBER($G62),1/($D57+SUM(AG62:AG69)+$D58),0)</f>
        <v>0.12660644487093178</v>
      </c>
      <c r="AH70" s="65"/>
      <c r="AI70" s="65"/>
      <c r="AJ70" s="65"/>
      <c r="AK70" s="65"/>
      <c r="AL70" s="65"/>
      <c r="AM70" s="65"/>
      <c r="AN70" s="65"/>
      <c r="AO70" s="65"/>
      <c r="AP70" s="65"/>
      <c r="AQ70" s="65"/>
      <c r="AR70" s="65"/>
      <c r="AS70" s="66"/>
      <c r="AT70" s="66"/>
      <c r="AU70" s="66"/>
      <c r="AV70" s="66"/>
      <c r="AW70" s="66"/>
      <c r="AX70" s="66"/>
      <c r="AY70" s="66"/>
      <c r="AZ70" s="66"/>
      <c r="BA70" s="66"/>
      <c r="BB70" s="66"/>
      <c r="BC70" s="66"/>
      <c r="BD70" s="66"/>
      <c r="BE70" s="66"/>
      <c r="BF70" s="66"/>
      <c r="BG70" s="66"/>
      <c r="BH70" s="66"/>
      <c r="BI70" s="66"/>
      <c r="BJ70" s="66"/>
      <c r="BK70" s="66"/>
      <c r="BL70" s="66"/>
      <c r="BM70" s="361" t="str">
        <f>'Material editor'!C74</f>
        <v>301-EPDM gasket</v>
      </c>
    </row>
    <row r="71" spans="1:65" ht="15" customHeight="1" outlineLevel="1" x14ac:dyDescent="0.25">
      <c r="A71" s="61"/>
      <c r="B71" s="272"/>
      <c r="C71" s="77"/>
      <c r="D71" s="41"/>
      <c r="E71" s="116" t="s">
        <v>150</v>
      </c>
      <c r="F71" s="116"/>
      <c r="H71" s="68"/>
      <c r="I71" s="68"/>
      <c r="J71" s="68"/>
      <c r="K71" s="157" t="str">
        <f>IF(AE77&lt;=0.1,"","Der Fehler der U-Wert-Berechnung liegt möglicherweise über 10 %. Wärmebrückenberechnung?")</f>
        <v/>
      </c>
      <c r="L71" s="68"/>
      <c r="M71" s="68"/>
      <c r="N71" s="68"/>
      <c r="R71" s="5"/>
      <c r="S71" s="5"/>
      <c r="T71" s="5"/>
      <c r="U71" s="68"/>
      <c r="V71" s="68"/>
      <c r="X71" s="68"/>
      <c r="Y71" s="5"/>
      <c r="Z71" s="189">
        <f>IF(ISNUMBER(Z62),SUM(Z62:Z70)/10,"")</f>
        <v>45.4</v>
      </c>
      <c r="AA71" s="10" t="s">
        <v>8</v>
      </c>
      <c r="AB71" s="61"/>
      <c r="AC71" s="98"/>
      <c r="AD71" s="98" t="s">
        <v>125</v>
      </c>
      <c r="AE71" s="101">
        <f>1-SUM(AF71:AG71)</f>
        <v>0.80400000000000005</v>
      </c>
      <c r="AF71" s="102">
        <f>K70</f>
        <v>9.6000000000000002E-2</v>
      </c>
      <c r="AG71" s="102">
        <f>R70</f>
        <v>0.1</v>
      </c>
      <c r="AH71" s="98"/>
      <c r="AI71" s="65"/>
      <c r="AJ71" s="65"/>
      <c r="AK71" s="65"/>
      <c r="AL71" s="65"/>
      <c r="AM71" s="65"/>
      <c r="AN71" s="65"/>
      <c r="AO71" s="65"/>
      <c r="AP71" s="65"/>
      <c r="AQ71" s="65"/>
      <c r="AR71" s="65" t="s">
        <v>393</v>
      </c>
      <c r="AS71" s="148"/>
      <c r="AT71" s="175" t="s">
        <v>393</v>
      </c>
      <c r="AU71" s="65" t="s">
        <v>366</v>
      </c>
      <c r="AV71" s="65" t="s">
        <v>355</v>
      </c>
      <c r="AW71" s="66"/>
      <c r="AX71" s="65" t="s">
        <v>394</v>
      </c>
      <c r="AY71" s="65" t="s">
        <v>356</v>
      </c>
      <c r="AZ71" s="66"/>
      <c r="BA71" s="66"/>
      <c r="BB71" s="66"/>
      <c r="BC71" s="66"/>
      <c r="BD71" s="66"/>
      <c r="BE71" s="66"/>
      <c r="BF71" s="66"/>
      <c r="BG71" s="66"/>
      <c r="BH71" s="66"/>
      <c r="BI71" s="66"/>
      <c r="BJ71" s="66"/>
      <c r="BK71" s="66"/>
      <c r="BL71" s="66"/>
      <c r="BM71" s="361" t="str">
        <f>'Material editor'!C75</f>
        <v>302-Insulation tape</v>
      </c>
    </row>
    <row r="72" spans="1:65" ht="15" customHeight="1" outlineLevel="1" x14ac:dyDescent="0.25">
      <c r="A72" s="61"/>
      <c r="B72" s="272"/>
      <c r="C72" s="77"/>
      <c r="D72" s="68"/>
      <c r="E72" s="68"/>
      <c r="F72" s="68"/>
      <c r="G72" s="68"/>
      <c r="H72" s="68"/>
      <c r="I72" s="68"/>
      <c r="J72" s="68"/>
      <c r="K72" s="68"/>
      <c r="L72" s="68"/>
      <c r="M72" s="68"/>
      <c r="N72" s="68"/>
      <c r="O72" s="68"/>
      <c r="P72" s="68"/>
      <c r="Q72" s="68"/>
      <c r="R72" s="68"/>
      <c r="T72" s="68"/>
      <c r="U72" s="68"/>
      <c r="V72" s="68"/>
      <c r="W72" s="68"/>
      <c r="X72" s="68"/>
      <c r="Y72" s="5"/>
      <c r="Z72" s="67"/>
      <c r="AA72" s="8"/>
      <c r="AB72" s="61"/>
      <c r="AC72" s="101"/>
      <c r="AD72" s="101"/>
      <c r="AE72" s="99"/>
      <c r="AF72" s="99"/>
      <c r="AG72" s="99"/>
      <c r="AH72" s="65"/>
      <c r="AI72" s="65"/>
      <c r="AJ72" s="65"/>
      <c r="AK72" s="65"/>
      <c r="AL72" s="65"/>
      <c r="AM72" s="65"/>
      <c r="AN72" s="65"/>
      <c r="AO72" s="65"/>
      <c r="AP72" s="65"/>
      <c r="AQ72" s="65"/>
      <c r="AR72" s="65"/>
      <c r="AS72" s="65"/>
      <c r="AT72" s="101" t="s">
        <v>367</v>
      </c>
      <c r="AU72" s="176">
        <f>Z73*F57*Balance!$H$6</f>
        <v>10.00190914480361</v>
      </c>
      <c r="AV72" s="176">
        <f>AU72*Balance!$H$13</f>
        <v>200.03818289607221</v>
      </c>
      <c r="AW72" s="66"/>
      <c r="AX72" s="66"/>
      <c r="AY72" s="66"/>
      <c r="AZ72" s="66"/>
      <c r="BA72" s="101" t="s">
        <v>351</v>
      </c>
      <c r="BB72" s="66"/>
      <c r="BC72" s="66"/>
      <c r="BD72" s="66"/>
      <c r="BE72" s="66"/>
      <c r="BF72" s="66"/>
      <c r="BG72" s="66"/>
      <c r="BH72" s="66"/>
      <c r="BI72" s="66"/>
      <c r="BJ72" s="66"/>
      <c r="BK72" s="66"/>
      <c r="BL72" s="66"/>
      <c r="BM72" s="361" t="str">
        <f>'Material editor'!C76</f>
        <v>303-Silicone sealing compound; 1100 kg/m³;  W/(mK); 40 years</v>
      </c>
    </row>
    <row r="73" spans="1:65" ht="18" customHeight="1" outlineLevel="1" x14ac:dyDescent="0.35">
      <c r="A73" s="61"/>
      <c r="B73" s="272"/>
      <c r="C73" s="77"/>
      <c r="H73" s="68"/>
      <c r="I73" s="68"/>
      <c r="J73" s="67"/>
      <c r="K73" s="192" t="s">
        <v>397</v>
      </c>
      <c r="L73" s="67"/>
      <c r="M73" s="67"/>
      <c r="N73" s="67"/>
      <c r="O73" s="67"/>
      <c r="P73" s="67"/>
      <c r="Q73" s="67"/>
      <c r="R73" s="14" t="s">
        <v>398</v>
      </c>
      <c r="U73" s="68"/>
      <c r="V73" s="68"/>
      <c r="W73" s="68"/>
      <c r="X73" s="68"/>
      <c r="Y73" s="127" t="s">
        <v>154</v>
      </c>
      <c r="Z73" s="193">
        <f>IF(ISNUMBER(G62),IF(AE77&lt;0.1,1/AE73,1/(AP73*1.1))+D71,"")</f>
        <v>0.12660644487093178</v>
      </c>
      <c r="AA73" s="8" t="s">
        <v>10</v>
      </c>
      <c r="AB73" s="61"/>
      <c r="AC73" s="101"/>
      <c r="AD73" s="101" t="s">
        <v>126</v>
      </c>
      <c r="AE73" s="95">
        <f>IF(ISNUMBER(G62),AVERAGE(AG73,AP73),0)</f>
        <v>7.8984920634920623</v>
      </c>
      <c r="AF73" s="101" t="s">
        <v>127</v>
      </c>
      <c r="AG73" s="95">
        <f>IF(ISNUMBER(G62),1/SUMPRODUCT(AE71:AG71,AE70:AG70),0)</f>
        <v>7.8984920634920623</v>
      </c>
      <c r="AH73" s="65"/>
      <c r="AI73" s="65"/>
      <c r="AJ73" s="65"/>
      <c r="AK73" s="65"/>
      <c r="AL73" s="103"/>
      <c r="AM73" s="65"/>
      <c r="AN73" s="65"/>
      <c r="AO73" s="101" t="s">
        <v>128</v>
      </c>
      <c r="AP73" s="95">
        <f>$D57+SUM(AP62:AP69)+$D58</f>
        <v>7.8984920634920623</v>
      </c>
      <c r="AQ73" s="65"/>
      <c r="AR73" s="65"/>
      <c r="AS73" s="152" t="str">
        <f>Data!$D$4</f>
        <v>Heat pump</v>
      </c>
      <c r="AT73" s="177" t="s">
        <v>374</v>
      </c>
      <c r="AU73" s="179">
        <f>AU72/(Balance!$H$17*Balance!$H$18*Balance!$H$19)*Balance!$H$22</f>
        <v>6.6679394298690733</v>
      </c>
      <c r="AV73" s="176">
        <f>AU73*Balance!$H$13</f>
        <v>133.35878859738148</v>
      </c>
      <c r="AW73" s="66"/>
      <c r="AX73" s="186">
        <f ca="1">AU72/(Balance!$H$17*Balance!$H$18*Balance!$H$19)*Balance!$G$22/1000</f>
        <v>1.2594996700863805</v>
      </c>
      <c r="AY73" s="176">
        <f ca="1">AX73*Balance!$H$13</f>
        <v>25.189993401727612</v>
      </c>
      <c r="AZ73" s="101"/>
      <c r="BA73" s="95">
        <f>SUM(BA62:BA69)</f>
        <v>67.674953885640249</v>
      </c>
      <c r="BB73" s="66" t="s">
        <v>355</v>
      </c>
      <c r="BC73" s="66"/>
      <c r="BD73" s="66"/>
      <c r="BE73" s="66"/>
      <c r="BF73" s="66"/>
      <c r="BG73" s="66"/>
      <c r="BH73" s="66"/>
      <c r="BI73" s="101" t="s">
        <v>149</v>
      </c>
      <c r="BJ73" s="95">
        <f>SUM(BJ62:BJ69)</f>
        <v>23.847355160252693</v>
      </c>
      <c r="BK73" s="66" t="s">
        <v>357</v>
      </c>
      <c r="BL73" s="66"/>
      <c r="BM73" s="361" t="str">
        <f>'Material editor'!C77</f>
        <v>304-Steel section; 7850 kg/m³;  W/(mK); 40 years</v>
      </c>
    </row>
    <row r="74" spans="1:65" ht="15.75" customHeight="1" outlineLevel="1" x14ac:dyDescent="0.25">
      <c r="A74" s="61"/>
      <c r="B74" s="272"/>
      <c r="C74" s="77"/>
      <c r="D74" s="155"/>
      <c r="E74" s="188" t="s">
        <v>395</v>
      </c>
      <c r="F74" s="116"/>
      <c r="H74" s="68"/>
      <c r="I74" s="68"/>
      <c r="J74" s="67"/>
      <c r="K74" s="190">
        <f>BA73</f>
        <v>67.674953885640249</v>
      </c>
      <c r="L74" s="128" t="s">
        <v>400</v>
      </c>
      <c r="M74" s="67"/>
      <c r="N74" s="67"/>
      <c r="O74" s="67"/>
      <c r="P74" s="67"/>
      <c r="Q74" s="67"/>
      <c r="R74" s="190">
        <f>BJ73</f>
        <v>23.847355160252693</v>
      </c>
      <c r="S74" s="128" t="s">
        <v>399</v>
      </c>
      <c r="U74" s="68"/>
      <c r="V74" s="68"/>
      <c r="W74" s="68"/>
      <c r="X74" s="68"/>
      <c r="Y74" s="67"/>
      <c r="Z74" s="67"/>
      <c r="AA74" s="8"/>
      <c r="AB74" s="61"/>
      <c r="AC74" s="101"/>
      <c r="AD74" s="101"/>
      <c r="AE74" s="154"/>
      <c r="AF74" s="101"/>
      <c r="AG74" s="154"/>
      <c r="AH74" s="65"/>
      <c r="AI74" s="65"/>
      <c r="AJ74" s="65"/>
      <c r="AK74" s="65"/>
      <c r="AL74" s="103"/>
      <c r="AM74" s="65"/>
      <c r="AN74" s="65"/>
      <c r="AO74" s="101"/>
      <c r="AP74" s="154"/>
      <c r="AQ74" s="65"/>
      <c r="AR74" s="65"/>
      <c r="AS74" s="152" t="str">
        <f>Data!$D$5</f>
        <v>Direct electric</v>
      </c>
      <c r="AT74" s="177" t="s">
        <v>374</v>
      </c>
      <c r="AU74" s="179">
        <f>AU72/Balance!$H$18*Balance!$H$22</f>
        <v>18.003436460646498</v>
      </c>
      <c r="AV74" s="176">
        <f>AU74*Balance!$H$13</f>
        <v>360.06872921292995</v>
      </c>
      <c r="AW74" s="66"/>
      <c r="AX74" s="186">
        <f ca="1">AU72/Balance!$H$18*Balance!$G$22/1000</f>
        <v>3.4006491092332274</v>
      </c>
      <c r="AY74" s="176">
        <f ca="1">AX74*Balance!$H$13</f>
        <v>68.012982184664551</v>
      </c>
      <c r="AZ74" s="101"/>
      <c r="BA74" s="154"/>
      <c r="BB74" s="66"/>
      <c r="BC74" s="66"/>
      <c r="BD74" s="66"/>
      <c r="BE74" s="66"/>
      <c r="BF74" s="66"/>
      <c r="BG74" s="66"/>
      <c r="BH74" s="66"/>
      <c r="BI74" s="101"/>
      <c r="BJ74" s="154"/>
      <c r="BK74" s="66"/>
      <c r="BL74" s="66"/>
      <c r="BM74" s="361" t="str">
        <f>'Material editor'!C78</f>
        <v>305-Application primer water based (windows, white); 1150 kg/m³;  W/(mK); 40 years</v>
      </c>
    </row>
    <row r="75" spans="1:65" ht="15.75" customHeight="1" outlineLevel="1" x14ac:dyDescent="0.25">
      <c r="A75" s="61"/>
      <c r="B75" s="272"/>
      <c r="C75" s="77"/>
      <c r="D75" s="155"/>
      <c r="E75" s="188" t="s">
        <v>396</v>
      </c>
      <c r="F75" s="116"/>
      <c r="H75" s="68"/>
      <c r="I75" s="68"/>
      <c r="J75" s="67"/>
      <c r="K75" s="190">
        <f>AV77</f>
        <v>133.35878859738148</v>
      </c>
      <c r="L75" s="128" t="s">
        <v>401</v>
      </c>
      <c r="M75" s="67"/>
      <c r="N75" s="67"/>
      <c r="O75" s="67"/>
      <c r="P75" s="67"/>
      <c r="Q75" s="67"/>
      <c r="R75" s="190">
        <f ca="1">AY77</f>
        <v>25.189993401727612</v>
      </c>
      <c r="S75" s="128" t="s">
        <v>358</v>
      </c>
      <c r="U75" s="68"/>
      <c r="V75" s="68"/>
      <c r="W75" s="68"/>
      <c r="X75" s="68"/>
      <c r="Y75" s="67"/>
      <c r="Z75" s="67"/>
      <c r="AA75" s="8"/>
      <c r="AB75" s="61"/>
      <c r="AC75" s="101"/>
      <c r="AD75" s="101"/>
      <c r="AE75" s="154"/>
      <c r="AF75" s="101"/>
      <c r="AG75" s="154"/>
      <c r="AH75" s="65"/>
      <c r="AI75" s="65"/>
      <c r="AJ75" s="65"/>
      <c r="AK75" s="65"/>
      <c r="AL75" s="103"/>
      <c r="AM75" s="65"/>
      <c r="AN75" s="65"/>
      <c r="AO75" s="101"/>
      <c r="AP75" s="154"/>
      <c r="AQ75" s="65"/>
      <c r="AR75" s="65"/>
      <c r="AS75" s="152" t="str">
        <f>Data!$D$6</f>
        <v>Gas boiler</v>
      </c>
      <c r="AT75" s="177" t="s">
        <v>374</v>
      </c>
      <c r="AU75" s="179">
        <f>AU72/(Balance!$H$18*Balance!$H$19)*Balance!H$23</f>
        <v>19.448156670451464</v>
      </c>
      <c r="AV75" s="176">
        <f>AU75*Balance!$H$13</f>
        <v>388.9631334090293</v>
      </c>
      <c r="AW75" s="66"/>
      <c r="AX75" s="186">
        <f ca="1">AU72/(Balance!$H$18*Balance!$H$19)*Balance!$G$23/1000</f>
        <v>2.7716930765031158</v>
      </c>
      <c r="AY75" s="176">
        <f ca="1">AX75*Balance!$H$13</f>
        <v>55.433861530062316</v>
      </c>
      <c r="AZ75" s="101"/>
      <c r="BA75" s="154"/>
      <c r="BB75" s="66"/>
      <c r="BC75" s="66"/>
      <c r="BD75" s="66"/>
      <c r="BE75" s="66"/>
      <c r="BF75" s="66"/>
      <c r="BG75" s="66"/>
      <c r="BH75" s="66"/>
      <c r="BI75" s="101"/>
      <c r="BJ75" s="154"/>
      <c r="BK75" s="66"/>
      <c r="BL75" s="66"/>
      <c r="BM75" s="361" t="str">
        <f>'Material editor'!C79</f>
        <v>306-Application intermediate coating water based (windows, white); 1150 kg/m³;  W/(mK); 40 years</v>
      </c>
    </row>
    <row r="76" spans="1:65" ht="15.75" customHeight="1" outlineLevel="1" x14ac:dyDescent="0.25">
      <c r="A76" s="61"/>
      <c r="B76" s="272"/>
      <c r="C76" s="77"/>
      <c r="D76" s="155"/>
      <c r="E76" s="188" t="s">
        <v>352</v>
      </c>
      <c r="F76" s="116"/>
      <c r="H76" s="68"/>
      <c r="I76" s="68"/>
      <c r="J76" s="67"/>
      <c r="K76" s="191">
        <f>K75+K74</f>
        <v>201.03374248302174</v>
      </c>
      <c r="L76" s="128" t="s">
        <v>355</v>
      </c>
      <c r="M76" s="67"/>
      <c r="N76" s="67"/>
      <c r="O76" s="67"/>
      <c r="P76" s="67"/>
      <c r="Q76" s="67"/>
      <c r="R76" s="191">
        <f ca="1">R75+R74</f>
        <v>49.037348561980309</v>
      </c>
      <c r="S76" s="128" t="s">
        <v>358</v>
      </c>
      <c r="T76" s="153"/>
      <c r="U76" s="68"/>
      <c r="V76" s="68"/>
      <c r="W76" s="68"/>
      <c r="X76" s="68"/>
      <c r="Y76" s="67"/>
      <c r="Z76" s="67"/>
      <c r="AA76" s="8"/>
      <c r="AB76" s="61"/>
      <c r="AC76" s="101"/>
      <c r="AD76" s="101"/>
      <c r="AE76" s="154"/>
      <c r="AF76" s="101"/>
      <c r="AG76" s="154"/>
      <c r="AH76" s="65"/>
      <c r="AI76" s="65"/>
      <c r="AJ76" s="65"/>
      <c r="AK76" s="65"/>
      <c r="AL76" s="103"/>
      <c r="AM76" s="65"/>
      <c r="AN76" s="65"/>
      <c r="AO76" s="101"/>
      <c r="AP76" s="154"/>
      <c r="AQ76" s="65"/>
      <c r="AR76" s="65"/>
      <c r="AS76" s="152" t="str">
        <f>Data!$D$7</f>
        <v>Biomass</v>
      </c>
      <c r="AT76" s="177" t="s">
        <v>374</v>
      </c>
      <c r="AU76" s="179">
        <f>AU72/(Balance!$H$18*Balance!$H$19)*Balance!$H$24</f>
        <v>12.224555621426635</v>
      </c>
      <c r="AV76" s="176">
        <f>AU76*Balance!$H$13</f>
        <v>244.49111242853269</v>
      </c>
      <c r="AW76" s="66"/>
      <c r="AX76" s="186">
        <f ca="1">AU72/(Balance!$H$18*Balance!$H$19)*Balance!$G$24/1000</f>
        <v>0.23615618814119635</v>
      </c>
      <c r="AY76" s="176">
        <f ca="1">AX76*Balance!$H$13</f>
        <v>4.7231237628239269</v>
      </c>
      <c r="AZ76" s="101"/>
      <c r="BA76" s="154"/>
      <c r="BB76" s="66"/>
      <c r="BC76" s="66"/>
      <c r="BD76" s="66"/>
      <c r="BE76" s="66"/>
      <c r="BF76" s="66"/>
      <c r="BG76" s="66"/>
      <c r="BH76" s="66"/>
      <c r="BI76" s="101"/>
      <c r="BJ76" s="154"/>
      <c r="BK76" s="66"/>
      <c r="BL76" s="66"/>
      <c r="BM76" s="361" t="str">
        <f>'Material editor'!C80</f>
        <v>307-Application top-coating water based (windows, white); 1150 kg/m³;  W/(mK); 10 years</v>
      </c>
    </row>
    <row r="77" spans="1:65" ht="15" customHeight="1" outlineLevel="1" x14ac:dyDescent="0.25">
      <c r="A77" s="61"/>
      <c r="B77" s="272"/>
      <c r="C77" s="104"/>
      <c r="D77" s="105"/>
      <c r="E77" s="106"/>
      <c r="F77" s="106"/>
      <c r="G77" s="106"/>
      <c r="H77" s="107"/>
      <c r="I77" s="107"/>
      <c r="J77" s="107"/>
      <c r="K77" s="106"/>
      <c r="L77" s="106"/>
      <c r="M77" s="106"/>
      <c r="N77" s="106"/>
      <c r="O77" s="106"/>
      <c r="P77" s="106"/>
      <c r="Q77" s="106"/>
      <c r="R77" s="106"/>
      <c r="S77" s="106"/>
      <c r="T77" s="106"/>
      <c r="U77" s="106"/>
      <c r="V77" s="106"/>
      <c r="W77" s="106"/>
      <c r="X77" s="106"/>
      <c r="Y77" s="106"/>
      <c r="Z77" s="108"/>
      <c r="AA77" s="109"/>
      <c r="AB77" s="61"/>
      <c r="AC77" s="101"/>
      <c r="AD77" s="101" t="s">
        <v>129</v>
      </c>
      <c r="AE77" s="110">
        <f>IF(ISNUMBER(G62),(AG73-AP73)/(2*AE73),0)</f>
        <v>0</v>
      </c>
      <c r="AF77" s="111"/>
      <c r="AG77" s="65"/>
      <c r="AH77" s="101"/>
      <c r="AI77" s="65"/>
      <c r="AJ77" s="65"/>
      <c r="AK77" s="65"/>
      <c r="AL77" s="65"/>
      <c r="AM77" s="65"/>
      <c r="AN77" s="65"/>
      <c r="AO77" s="65"/>
      <c r="AP77" s="66"/>
      <c r="AQ77" s="65"/>
      <c r="AR77" s="65"/>
      <c r="AS77" s="178" t="str">
        <f>Balance!$G$16</f>
        <v>Heat pump</v>
      </c>
      <c r="AT77" s="66"/>
      <c r="AU77" s="185">
        <f>VLOOKUP(AS77,AS73:AU76,3,0)</f>
        <v>6.6679394298690733</v>
      </c>
      <c r="AV77" s="185">
        <f>VLOOKUP(AS77,AS73:AV76,4,0)</f>
        <v>133.35878859738148</v>
      </c>
      <c r="AW77" s="185"/>
      <c r="AX77" s="187">
        <f ca="1">VLOOKUP(AS77,AS73:AX76,6,0)</f>
        <v>1.2594996700863805</v>
      </c>
      <c r="AY77" s="185">
        <f ca="1">VLOOKUP(AS77,AS73:AY76,7,0)</f>
        <v>25.189993401727612</v>
      </c>
      <c r="AZ77" s="66"/>
      <c r="BA77" s="66"/>
      <c r="BB77" s="66"/>
      <c r="BC77" s="66"/>
      <c r="BD77" s="66"/>
      <c r="BE77" s="66"/>
      <c r="BF77" s="66"/>
      <c r="BG77" s="66"/>
      <c r="BH77" s="66"/>
      <c r="BI77" s="66"/>
      <c r="BJ77" s="66"/>
      <c r="BK77" s="66"/>
      <c r="BL77" s="66"/>
      <c r="BM77" s="361" t="str">
        <f>'Material editor'!C81</f>
        <v>308-;  kg/m³;  W/(mK);  years</v>
      </c>
    </row>
    <row r="78" spans="1:65" ht="15" customHeight="1" outlineLevel="1" x14ac:dyDescent="0.25">
      <c r="B78" s="201"/>
      <c r="BM78" s="361" t="str">
        <f>'Material editor'!C82</f>
        <v>309-Aluminium profile coated; 2700 kg/m³;  W/(mK); 40 years</v>
      </c>
    </row>
    <row r="79" spans="1:65" ht="15" customHeight="1" outlineLevel="1" x14ac:dyDescent="0.25">
      <c r="A79" s="61"/>
      <c r="B79" s="272"/>
      <c r="C79" s="62"/>
      <c r="D79" s="114" t="s">
        <v>131</v>
      </c>
      <c r="E79" s="115" t="s">
        <v>132</v>
      </c>
      <c r="F79" s="115"/>
      <c r="G79" s="63"/>
      <c r="H79" s="63"/>
      <c r="I79" s="63"/>
      <c r="J79" s="63"/>
      <c r="K79" s="63"/>
      <c r="L79" s="63"/>
      <c r="M79" s="63"/>
      <c r="N79" s="63"/>
      <c r="O79" s="63"/>
      <c r="P79" s="63"/>
      <c r="Q79" s="63"/>
      <c r="R79" s="63"/>
      <c r="S79" s="63"/>
      <c r="T79" s="63"/>
      <c r="U79" s="63"/>
      <c r="V79" s="63"/>
      <c r="W79" s="63"/>
      <c r="X79" s="63"/>
      <c r="Y79" s="63"/>
      <c r="Z79" s="63"/>
      <c r="AA79" s="64"/>
      <c r="AB79" s="61"/>
      <c r="AC79" s="65" t="s">
        <v>402</v>
      </c>
      <c r="AD79" s="65"/>
      <c r="AE79" s="65"/>
      <c r="AF79" s="65"/>
      <c r="AG79" s="65"/>
      <c r="AH79" s="65"/>
      <c r="AI79" s="65"/>
      <c r="AJ79" s="65"/>
      <c r="AK79" s="65"/>
      <c r="AL79" s="65"/>
      <c r="AM79" s="65"/>
      <c r="AN79" s="65"/>
      <c r="AO79" s="65"/>
      <c r="AP79" s="65"/>
      <c r="AQ79" s="66"/>
      <c r="AR79" s="65" t="s">
        <v>405</v>
      </c>
      <c r="AS79" s="65"/>
      <c r="AT79" s="65"/>
      <c r="AU79" s="65"/>
      <c r="AV79" s="65"/>
      <c r="AW79" s="65"/>
      <c r="AX79" s="65"/>
      <c r="AY79" s="65"/>
      <c r="AZ79" s="65"/>
      <c r="BA79" s="65"/>
      <c r="BB79" s="65" t="s">
        <v>403</v>
      </c>
      <c r="BC79" s="65"/>
      <c r="BD79" s="65"/>
      <c r="BE79" s="65"/>
      <c r="BF79" s="65"/>
      <c r="BG79" s="65"/>
      <c r="BH79" s="65"/>
      <c r="BI79" s="65"/>
      <c r="BJ79" s="65"/>
      <c r="BK79" s="65"/>
      <c r="BL79" s="65"/>
      <c r="BM79" s="361" t="str">
        <f>'Material editor'!C83</f>
        <v>310-Extruded polystyrene (XPS); 39 kg/m³; 0.035 W/(mK); 40 years</v>
      </c>
    </row>
    <row r="80" spans="1:65" ht="15.75" x14ac:dyDescent="0.25">
      <c r="A80" s="61"/>
      <c r="B80" s="272"/>
      <c r="C80" s="69"/>
      <c r="D80" s="70">
        <v>3</v>
      </c>
      <c r="E80" s="71" t="s">
        <v>927</v>
      </c>
      <c r="F80" s="92"/>
      <c r="G80" s="72"/>
      <c r="H80" s="72"/>
      <c r="I80" s="72"/>
      <c r="J80" s="72"/>
      <c r="K80" s="72"/>
      <c r="L80" s="72"/>
      <c r="M80" s="72"/>
      <c r="N80" s="72"/>
      <c r="O80" s="72"/>
      <c r="P80" s="72"/>
      <c r="Q80" s="72"/>
      <c r="R80" s="72"/>
      <c r="S80" s="72"/>
      <c r="T80" s="72"/>
      <c r="U80" s="72"/>
      <c r="V80" s="72"/>
      <c r="W80" s="72"/>
      <c r="X80" s="72"/>
      <c r="Y80" s="72"/>
      <c r="Z80" s="73"/>
      <c r="AA80" s="75"/>
      <c r="AB80" s="61"/>
      <c r="AC80" s="65"/>
      <c r="AD80" s="65"/>
      <c r="AE80" s="76" t="s">
        <v>114</v>
      </c>
      <c r="AF80" s="65"/>
      <c r="AG80" s="65"/>
      <c r="AH80" s="65"/>
      <c r="AI80" s="65"/>
      <c r="AJ80" s="65"/>
      <c r="AK80" s="65"/>
      <c r="AL80" s="65"/>
      <c r="AM80" s="65"/>
      <c r="AN80" s="65"/>
      <c r="AO80" s="65"/>
      <c r="AP80" s="66"/>
      <c r="AQ80" s="65"/>
      <c r="AR80" s="65" t="s">
        <v>404</v>
      </c>
      <c r="AS80" s="65"/>
      <c r="AT80" s="65"/>
      <c r="AU80" s="65"/>
      <c r="AV80" s="65"/>
      <c r="AW80" s="65"/>
      <c r="AX80" s="65"/>
      <c r="AY80" s="65"/>
      <c r="AZ80" s="65"/>
      <c r="BA80" s="65"/>
      <c r="BB80" s="65" t="s">
        <v>407</v>
      </c>
      <c r="BC80" s="65"/>
      <c r="BD80" s="65"/>
      <c r="BE80" s="65"/>
      <c r="BF80" s="65"/>
      <c r="BG80" s="65"/>
      <c r="BH80" s="65"/>
      <c r="BI80" s="65"/>
      <c r="BJ80" s="65"/>
      <c r="BK80" s="65"/>
      <c r="BL80" s="65"/>
      <c r="BM80" s="361" t="str">
        <f>'Material editor'!C84</f>
        <v>311-Cable duct PVC, rigid; 1400 kg/m³;  W/(mK); 40 years</v>
      </c>
    </row>
    <row r="81" spans="1:65" outlineLevel="1" x14ac:dyDescent="0.25">
      <c r="A81" s="61"/>
      <c r="B81" s="272"/>
      <c r="C81" s="77"/>
      <c r="D81" s="116" t="s">
        <v>133</v>
      </c>
      <c r="E81" s="78"/>
      <c r="F81" s="78"/>
      <c r="AA81" s="75"/>
      <c r="AB81" s="61"/>
      <c r="AC81" s="65"/>
      <c r="AD81" s="65"/>
      <c r="AE81" s="65"/>
      <c r="AF81" s="65"/>
      <c r="AG81" s="65"/>
      <c r="AH81" s="65"/>
      <c r="AI81" s="65"/>
      <c r="AJ81" s="65"/>
      <c r="AK81" s="65"/>
      <c r="AL81" s="65"/>
      <c r="AM81" s="65"/>
      <c r="AN81" s="65"/>
      <c r="AO81" s="65"/>
      <c r="AP81" s="66"/>
      <c r="AQ81" s="65"/>
      <c r="AR81" s="65"/>
      <c r="AS81" s="65"/>
      <c r="AT81" s="65"/>
      <c r="AU81" s="65"/>
      <c r="AV81" s="65"/>
      <c r="AW81" s="65"/>
      <c r="AX81" s="65"/>
      <c r="AY81" s="65"/>
      <c r="AZ81" s="65"/>
      <c r="BA81" s="65"/>
      <c r="BB81" s="65"/>
      <c r="BC81" s="65"/>
      <c r="BD81" s="65"/>
      <c r="BE81" s="65"/>
      <c r="BF81" s="65"/>
      <c r="BG81" s="65"/>
      <c r="BH81" s="65"/>
      <c r="BI81" s="65"/>
      <c r="BJ81" s="65"/>
      <c r="BK81" s="65"/>
      <c r="BL81" s="65"/>
      <c r="BM81" s="361" t="str">
        <f>'Material editor'!C85</f>
        <v>312-Polyester resin laminated part (GFRP, 30% glass fibres); 1400 kg/m³;  W/(mK); 40 years</v>
      </c>
    </row>
    <row r="82" spans="1:65" outlineLevel="1" x14ac:dyDescent="0.25">
      <c r="A82" s="61"/>
      <c r="B82" s="272"/>
      <c r="C82" s="77"/>
      <c r="D82" s="79">
        <v>0.1</v>
      </c>
      <c r="E82" s="2" t="s">
        <v>151</v>
      </c>
      <c r="F82" s="138">
        <v>1</v>
      </c>
      <c r="G82" s="61"/>
      <c r="H82" s="74"/>
      <c r="I82" s="74"/>
      <c r="J82" s="74"/>
      <c r="K82" s="2" t="s">
        <v>921</v>
      </c>
      <c r="L82" s="74"/>
      <c r="M82" s="74"/>
      <c r="N82" s="74"/>
      <c r="AA82" s="75"/>
      <c r="AB82" s="61"/>
      <c r="AC82" s="65"/>
      <c r="AD82" s="65"/>
      <c r="AE82" s="65" t="s">
        <v>115</v>
      </c>
      <c r="AF82" s="65"/>
      <c r="AG82" s="65"/>
      <c r="AH82" s="65"/>
      <c r="AI82" s="65" t="s">
        <v>116</v>
      </c>
      <c r="AJ82" s="65"/>
      <c r="AK82" s="65"/>
      <c r="AL82" s="65"/>
      <c r="AM82" s="65"/>
      <c r="AN82" s="65"/>
      <c r="AO82" s="65"/>
      <c r="AP82" s="66"/>
      <c r="AQ82" s="65"/>
      <c r="AR82" s="65"/>
      <c r="AS82" s="65"/>
      <c r="AT82" s="65"/>
      <c r="AU82" s="65"/>
      <c r="AV82" s="65"/>
      <c r="AW82" s="65"/>
      <c r="AX82" s="65"/>
      <c r="AY82" s="65"/>
      <c r="AZ82" s="65"/>
      <c r="BA82" s="65"/>
      <c r="BB82" s="65"/>
      <c r="BC82" s="65"/>
      <c r="BD82" s="65"/>
      <c r="BE82" s="65"/>
      <c r="BF82" s="65"/>
      <c r="BG82" s="65"/>
      <c r="BH82" s="65"/>
      <c r="BI82" s="65"/>
      <c r="BJ82" s="65"/>
      <c r="BK82" s="65"/>
      <c r="BL82" s="65"/>
      <c r="BM82" s="361" t="str">
        <f>'Material editor'!C86</f>
        <v>313-Soft Vinyl</v>
      </c>
    </row>
    <row r="83" spans="1:65" ht="15.75" outlineLevel="1" x14ac:dyDescent="0.25">
      <c r="A83" s="61"/>
      <c r="B83" s="272"/>
      <c r="C83" s="77"/>
      <c r="D83" s="79">
        <v>0.1</v>
      </c>
      <c r="E83" s="2" t="s">
        <v>152</v>
      </c>
      <c r="F83" s="2"/>
      <c r="G83" s="61"/>
      <c r="H83" s="74"/>
      <c r="I83" s="74"/>
      <c r="J83" s="74"/>
      <c r="K83" s="74"/>
      <c r="L83" s="74"/>
      <c r="M83" s="74"/>
      <c r="N83" s="74"/>
      <c r="AA83" s="75"/>
      <c r="AB83" s="61"/>
      <c r="AC83" s="65"/>
      <c r="AD83" s="65"/>
      <c r="AE83" s="80" t="s">
        <v>117</v>
      </c>
      <c r="AF83" s="81"/>
      <c r="AG83" s="81"/>
      <c r="AH83" s="65"/>
      <c r="AI83" s="82" t="s">
        <v>118</v>
      </c>
      <c r="AJ83" s="81"/>
      <c r="AK83" s="81"/>
      <c r="AL83" s="65"/>
      <c r="AM83" s="83" t="s">
        <v>119</v>
      </c>
      <c r="AN83" s="84"/>
      <c r="AO83" s="8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361" t="str">
        <f>'Material editor'!C87</f>
        <v>314-PIR high-density foam; 400 kg/m³;  W/(mK); 40 years</v>
      </c>
    </row>
    <row r="84" spans="1:65" ht="15.75" outlineLevel="1" x14ac:dyDescent="0.25">
      <c r="A84" s="61"/>
      <c r="B84" s="272"/>
      <c r="C84" s="77"/>
      <c r="D84" s="74"/>
      <c r="E84" s="61"/>
      <c r="F84" s="61"/>
      <c r="G84" s="61"/>
      <c r="H84" s="74"/>
      <c r="I84" s="74"/>
      <c r="J84" s="74"/>
      <c r="K84" s="74"/>
      <c r="L84" s="74"/>
      <c r="M84" s="74"/>
      <c r="N84" s="74"/>
      <c r="O84" s="1"/>
      <c r="P84" s="1"/>
      <c r="Q84" s="1"/>
      <c r="AA84" s="75"/>
      <c r="AB84" s="61"/>
      <c r="AC84" s="65"/>
      <c r="AD84" s="65"/>
      <c r="AE84" s="117"/>
      <c r="AF84" s="117"/>
      <c r="AG84" s="117"/>
      <c r="AH84" s="65"/>
      <c r="AI84" s="118"/>
      <c r="AJ84" s="117"/>
      <c r="AK84" s="117"/>
      <c r="AL84" s="65"/>
      <c r="AM84" s="119"/>
      <c r="AN84" s="119"/>
      <c r="AO84" s="119"/>
      <c r="AP84" s="65"/>
      <c r="AQ84" s="65"/>
      <c r="AR84" s="65"/>
      <c r="AS84" s="65"/>
      <c r="AT84" s="148" t="s">
        <v>351</v>
      </c>
      <c r="AU84" s="65"/>
      <c r="AV84" s="65"/>
      <c r="AW84" s="65"/>
      <c r="AX84" s="148"/>
      <c r="AY84" s="65"/>
      <c r="AZ84" s="65"/>
      <c r="BA84" s="65"/>
      <c r="BB84" s="65"/>
      <c r="BC84" s="148" t="s">
        <v>406</v>
      </c>
      <c r="BD84" s="65"/>
      <c r="BE84" s="65"/>
      <c r="BF84" s="65"/>
      <c r="BG84" s="148"/>
      <c r="BH84" s="65"/>
      <c r="BI84" s="65"/>
      <c r="BJ84" s="65"/>
      <c r="BK84" s="65"/>
      <c r="BL84" s="65"/>
      <c r="BM84" s="361" t="str">
        <f>'Material editor'!C88</f>
        <v>315-EPS 100 kg</v>
      </c>
    </row>
    <row r="85" spans="1:65" ht="22.5" outlineLevel="1" x14ac:dyDescent="0.25">
      <c r="A85" s="61"/>
      <c r="B85" s="272"/>
      <c r="C85" s="77"/>
      <c r="D85" s="121" t="str">
        <f>$D$35</f>
        <v>Area section 1</v>
      </c>
      <c r="E85" s="61"/>
      <c r="F85" s="122" t="str">
        <f>$F$35</f>
        <v>Count?</v>
      </c>
      <c r="G85" s="122" t="str">
        <f>$G$35</f>
        <v>Thermal conductivity</v>
      </c>
      <c r="H85" s="122" t="str">
        <f>$H$35</f>
        <v>Manfacturing energy</v>
      </c>
      <c r="I85" s="122" t="str">
        <f>$I$35</f>
        <v>GWP</v>
      </c>
      <c r="J85" s="122" t="str">
        <f>$J$35</f>
        <v>Service life</v>
      </c>
      <c r="K85" s="121" t="str">
        <f>$K$35</f>
        <v>Area section 2 (optional)</v>
      </c>
      <c r="L85" s="121"/>
      <c r="M85" s="122" t="str">
        <f>$M$35</f>
        <v>Count?</v>
      </c>
      <c r="N85" s="122" t="str">
        <f>$N$35</f>
        <v>Thermal conductivity</v>
      </c>
      <c r="O85" s="122" t="str">
        <f>$O$35</f>
        <v>Manfacturing energy</v>
      </c>
      <c r="P85" s="122" t="str">
        <f>$P$35</f>
        <v>GWP</v>
      </c>
      <c r="Q85" s="122" t="str">
        <f>$Q$35</f>
        <v>Service life</v>
      </c>
      <c r="R85" s="121" t="str">
        <f>$R$35</f>
        <v>Area section 3 (optional)</v>
      </c>
      <c r="S85" s="74"/>
      <c r="T85" s="122" t="str">
        <f>$T$35</f>
        <v>Count?</v>
      </c>
      <c r="U85" s="122" t="str">
        <f>$U$35</f>
        <v>Thermal conductivity</v>
      </c>
      <c r="V85" s="122" t="str">
        <f>$V$35</f>
        <v>Manfacturing energy</v>
      </c>
      <c r="W85" s="122" t="str">
        <f>$W$35</f>
        <v>GWP</v>
      </c>
      <c r="X85" s="122" t="str">
        <f>$X$35</f>
        <v>Service life</v>
      </c>
      <c r="Y85" s="74"/>
      <c r="Z85" s="122" t="str">
        <f>$Z$35</f>
        <v>Thickness</v>
      </c>
      <c r="AA85" s="75"/>
      <c r="AB85" s="61"/>
      <c r="AC85" s="65"/>
      <c r="AD85" s="65"/>
      <c r="AE85" s="86"/>
      <c r="AF85" s="87"/>
      <c r="AG85" s="65"/>
      <c r="AH85" s="65"/>
      <c r="AI85" s="65"/>
      <c r="AJ85" s="65"/>
      <c r="AK85" s="65"/>
      <c r="AL85" s="65"/>
      <c r="AM85" s="65"/>
      <c r="AN85" s="65"/>
      <c r="AO85" s="65"/>
      <c r="AP85" s="65"/>
      <c r="AQ85" s="65"/>
      <c r="AR85" s="65"/>
      <c r="AS85" s="65"/>
      <c r="AT85" s="148"/>
      <c r="AU85" s="65"/>
      <c r="AV85" s="65"/>
      <c r="AW85" s="151" t="s">
        <v>353</v>
      </c>
      <c r="AX85" s="149">
        <f>D95</f>
        <v>0.80400000000000005</v>
      </c>
      <c r="AY85" s="150">
        <f>K95</f>
        <v>9.6000000000000002E-2</v>
      </c>
      <c r="AZ85" s="150">
        <f>R95</f>
        <v>0.1</v>
      </c>
      <c r="BA85" s="156">
        <f>SUM(AX85:AZ85)</f>
        <v>1</v>
      </c>
      <c r="BB85" s="65"/>
      <c r="BC85" s="148"/>
      <c r="BD85" s="65"/>
      <c r="BE85" s="65"/>
      <c r="BF85" s="151" t="s">
        <v>353</v>
      </c>
      <c r="BG85" s="149">
        <f>AX85</f>
        <v>0.80400000000000005</v>
      </c>
      <c r="BH85" s="149">
        <f t="shared" ref="BH85" si="60">AY85</f>
        <v>9.6000000000000002E-2</v>
      </c>
      <c r="BI85" s="149">
        <f t="shared" ref="BI85" si="61">AZ85</f>
        <v>0.1</v>
      </c>
      <c r="BJ85" s="156">
        <f>SUM(BG85:BI85)</f>
        <v>1</v>
      </c>
      <c r="BK85" s="65"/>
      <c r="BL85" s="65"/>
      <c r="BM85" s="361" t="str">
        <f>'Material editor'!C89</f>
        <v>316-EPDM-foam</v>
      </c>
    </row>
    <row r="86" spans="1:65" outlineLevel="1" x14ac:dyDescent="0.25">
      <c r="A86" s="61"/>
      <c r="B86" s="272"/>
      <c r="C86" s="77"/>
      <c r="E86" s="61"/>
      <c r="F86" s="120" t="s">
        <v>985</v>
      </c>
      <c r="G86" s="4" t="s">
        <v>135</v>
      </c>
      <c r="H86" s="120" t="s">
        <v>144</v>
      </c>
      <c r="I86" s="120" t="s">
        <v>148</v>
      </c>
      <c r="J86" s="120" t="s">
        <v>146</v>
      </c>
      <c r="K86" s="88"/>
      <c r="L86" s="88"/>
      <c r="M86" s="88"/>
      <c r="N86" s="4" t="s">
        <v>135</v>
      </c>
      <c r="O86" s="120" t="s">
        <v>144</v>
      </c>
      <c r="P86" s="120" t="s">
        <v>148</v>
      </c>
      <c r="Q86" s="120" t="s">
        <v>146</v>
      </c>
      <c r="R86" s="88"/>
      <c r="S86" s="88"/>
      <c r="T86" s="88"/>
      <c r="U86" s="4" t="s">
        <v>135</v>
      </c>
      <c r="V86" s="120" t="s">
        <v>144</v>
      </c>
      <c r="W86" s="120" t="s">
        <v>148</v>
      </c>
      <c r="X86" s="120" t="s">
        <v>146</v>
      </c>
      <c r="Y86" s="74"/>
      <c r="Z86" s="120" t="str">
        <f>$Z$36</f>
        <v>[mm]</v>
      </c>
      <c r="AA86" s="75"/>
      <c r="AB86" s="61"/>
      <c r="AC86" s="65"/>
      <c r="AD86" s="65"/>
      <c r="AE86" s="89" t="s">
        <v>120</v>
      </c>
      <c r="AF86" s="89" t="s">
        <v>121</v>
      </c>
      <c r="AG86" s="89" t="s">
        <v>122</v>
      </c>
      <c r="AH86" s="65"/>
      <c r="AI86" s="89" t="s">
        <v>120</v>
      </c>
      <c r="AJ86" s="89" t="s">
        <v>121</v>
      </c>
      <c r="AK86" s="89" t="s">
        <v>122</v>
      </c>
      <c r="AL86" s="90"/>
      <c r="AM86" s="89" t="s">
        <v>120</v>
      </c>
      <c r="AN86" s="89" t="s">
        <v>121</v>
      </c>
      <c r="AO86" s="89" t="s">
        <v>122</v>
      </c>
      <c r="AP86" s="90" t="s">
        <v>123</v>
      </c>
      <c r="AQ86" s="65"/>
      <c r="AR86" s="65"/>
      <c r="AS86" s="65"/>
      <c r="AT86" s="89" t="s">
        <v>120</v>
      </c>
      <c r="AU86" s="89" t="s">
        <v>121</v>
      </c>
      <c r="AV86" s="89" t="s">
        <v>122</v>
      </c>
      <c r="AW86" s="65"/>
      <c r="AX86" s="89" t="s">
        <v>120</v>
      </c>
      <c r="AY86" s="89" t="s">
        <v>121</v>
      </c>
      <c r="AZ86" s="89" t="s">
        <v>122</v>
      </c>
      <c r="BA86" s="89" t="s">
        <v>354</v>
      </c>
      <c r="BB86" s="65"/>
      <c r="BC86" s="89" t="s">
        <v>120</v>
      </c>
      <c r="BD86" s="89" t="s">
        <v>121</v>
      </c>
      <c r="BE86" s="89" t="s">
        <v>122</v>
      </c>
      <c r="BF86" s="65"/>
      <c r="BG86" s="89" t="s">
        <v>120</v>
      </c>
      <c r="BH86" s="89" t="s">
        <v>121</v>
      </c>
      <c r="BI86" s="89" t="s">
        <v>122</v>
      </c>
      <c r="BJ86" s="89" t="s">
        <v>354</v>
      </c>
      <c r="BK86" s="65"/>
      <c r="BL86" s="65"/>
      <c r="BM86" s="361" t="str">
        <f>'Material editor'!C90</f>
        <v>317-Window sash (spruce);  kg/m³;  W/(mK); 40 years</v>
      </c>
    </row>
    <row r="87" spans="1:65" outlineLevel="1" x14ac:dyDescent="0.25">
      <c r="A87" s="61"/>
      <c r="B87" s="272"/>
      <c r="C87" s="91"/>
      <c r="D87" s="418" t="s">
        <v>1029</v>
      </c>
      <c r="E87" s="419"/>
      <c r="F87" s="94">
        <v>1</v>
      </c>
      <c r="G87" s="136">
        <f>IF(ISNUMBER(VLOOKUP(LEFT(D87,3),'Material editor'!$D$11:$H$110,'Material editor'!$E$8,0)),VLOOKUP(LEFT(D87,3),'Material editor'!$D$11:$H$110,'Material editor'!$E$8,0),"")</f>
        <v>0.25</v>
      </c>
      <c r="H87" s="137">
        <f>IF(ISNUMBER(VLOOKUP(LEFT(D87,3),'Material editor'!$D$11:$H$110,'Material editor'!$F$8,0)),VLOOKUP(LEFT(D87,3),'Material editor'!$D$11:$H$110,'Material editor'!$F$8,0),"")</f>
        <v>1070.8637995403842</v>
      </c>
      <c r="I87" s="137">
        <f>IF(ISNUMBER(VLOOKUP(LEFT(D87,3),'Material editor'!$D$11:$H$110,'Material editor'!$G$8,0)),VLOOKUP(LEFT(D87,3),'Material editor'!$D$11:$H$110,'Material editor'!$G$8,0),"")</f>
        <v>138.92307717733519</v>
      </c>
      <c r="J87" s="137">
        <f>IF(ISNUMBER(VLOOKUP(LEFT(D87,3),'Material editor'!$D$11:$H$110,'Material editor'!$H$8,0)),VLOOKUP(LEFT(D87,3),'Material editor'!$D$11:$H$110,'Material editor'!$H$8,0),"")</f>
        <v>40</v>
      </c>
      <c r="K87" s="418"/>
      <c r="L87" s="407"/>
      <c r="M87" s="94"/>
      <c r="N87" s="136" t="str">
        <f>IF(ISNUMBER(VLOOKUP(LEFT(K87,3),'Material editor'!$D$11:$H$110,'Material editor'!$E$8,0)),VLOOKUP(LEFT(K87,3),'Material editor'!$D$11:$H$110,'Material editor'!$E$8,0),"")</f>
        <v/>
      </c>
      <c r="O87" s="137" t="str">
        <f>IF(ISNUMBER(VLOOKUP(LEFT(K87,3),'Material editor'!$D$11:$H$110,'Material editor'!$F$8,0)),VLOOKUP(LEFT(K87,3),'Material editor'!$D$11:$H$110,'Material editor'!$F$8,0),"")</f>
        <v/>
      </c>
      <c r="P87" s="137" t="str">
        <f>IF(ISNUMBER(VLOOKUP(LEFT(K87,3),'Material editor'!$D$11:$H$110,'Material editor'!$G$8,0)),VLOOKUP(LEFT(K87,3),'Material editor'!$D$11:$H$110,'Material editor'!$G$8,0),"")</f>
        <v/>
      </c>
      <c r="Q87" s="137" t="str">
        <f>IF(ISNUMBER(VLOOKUP(LEFT(K87,3),'Material editor'!$D$11:$H$110,'Material editor'!$H$8,0)),VLOOKUP(LEFT(K87,3),'Material editor'!$D$11:$H$110,'Material editor'!$H$8,0),"")</f>
        <v/>
      </c>
      <c r="R87" s="418"/>
      <c r="S87" s="407"/>
      <c r="T87" s="94"/>
      <c r="U87" s="136" t="str">
        <f>IF(ISNUMBER(VLOOKUP(LEFT(R87,3),'Material editor'!$D$11:$H$110,'Material editor'!$E$8,0)),VLOOKUP(LEFT(R87,3),'Material editor'!$D$11:$H$110,'Material editor'!$E$8,0),"")</f>
        <v/>
      </c>
      <c r="V87" s="137" t="str">
        <f>IF(ISNUMBER(VLOOKUP(LEFT(R87,3),'Material editor'!$D$11:$H$110,'Material editor'!$F$8,0)),VLOOKUP(LEFT(R87,3),'Material editor'!$D$11:$H$110,'Material editor'!$F$8,0),"")</f>
        <v/>
      </c>
      <c r="W87" s="137" t="str">
        <f>IF(ISNUMBER(VLOOKUP(LEFT(R87,3),'Material editor'!$D$11:$H$110,'Material editor'!$G$8,0)),VLOOKUP(LEFT(R87,3),'Material editor'!$D$11:$H$110,'Material editor'!$G$8,0),"")</f>
        <v/>
      </c>
      <c r="X87" s="137" t="str">
        <f>IF(ISNUMBER(VLOOKUP(LEFT(R87,3),'Material editor'!$D$11:$H$110,'Material editor'!$H$8,0)),VLOOKUP(LEFT(R87,3),'Material editor'!$D$11:$H$110,'Material editor'!$H$8,0),"")</f>
        <v/>
      </c>
      <c r="Y87" s="74"/>
      <c r="Z87" s="94">
        <v>10</v>
      </c>
      <c r="AA87" s="8"/>
      <c r="AB87" s="61"/>
      <c r="AC87" s="65"/>
      <c r="AD87" s="65"/>
      <c r="AE87" s="95">
        <f t="shared" ref="AE87:AE94" si="62">IF(ISNUMBER(G87),IF(G87&gt;0,$Z87/1000/G87,0),0)</f>
        <v>0.04</v>
      </c>
      <c r="AF87" s="95">
        <f t="shared" ref="AF87:AF94" si="63">IF(ISNUMBER(N87),IF(N87&gt;0,$Z87/1000/N87,0),$AE87)</f>
        <v>0.04</v>
      </c>
      <c r="AG87" s="95">
        <f t="shared" ref="AG87:AG94" si="64">IF(ISNUMBER(U87),IF(U87&gt;0,$Z87/1000/U87,0),$AE87)</f>
        <v>0.04</v>
      </c>
      <c r="AH87" s="65"/>
      <c r="AI87" s="95">
        <f t="shared" ref="AI87:AI93" si="65">IF(ISNUMBER(G87),G87,0)</f>
        <v>0.25</v>
      </c>
      <c r="AJ87" s="95">
        <f t="shared" ref="AJ87:AJ94" si="66">IF(ISNUMBER(N87),IF(N87&gt;0,N87,0),$AI87)</f>
        <v>0.25</v>
      </c>
      <c r="AK87" s="95">
        <f t="shared" ref="AK87:AK94" si="67">IF(ISNUMBER(U87),IF(U87&gt;0,U87,0),$AI87)</f>
        <v>0.25</v>
      </c>
      <c r="AL87" s="65"/>
      <c r="AM87" s="96">
        <f>AE96</f>
        <v>0.80400000000000005</v>
      </c>
      <c r="AN87" s="96">
        <f>AF96</f>
        <v>9.6000000000000002E-2</v>
      </c>
      <c r="AO87" s="96">
        <f>AG96</f>
        <v>0.1</v>
      </c>
      <c r="AP87" s="65">
        <f t="shared" ref="AP87:AP94" si="68">IF(AI87&lt;&gt;0,Z87/1000/SUMPRODUCT(AM87:AO87,AI87:AK87),0)</f>
        <v>0.04</v>
      </c>
      <c r="AQ87" s="65"/>
      <c r="AR87" s="65"/>
      <c r="AS87" s="65"/>
      <c r="AT87" s="95">
        <f>IF(ISNUMBER(H87),H87*F87*Z87/1000*Balance!$H$13/J87,0)</f>
        <v>5.3543189977019212</v>
      </c>
      <c r="AU87" s="95">
        <f>IF(ISTEXT(K87),IF(ISNUMBER(O87),O87*M87*Z87/1000*Balance!$H$13/Q87,0),AT87)</f>
        <v>5.3543189977019212</v>
      </c>
      <c r="AV87" s="95">
        <f>IF(ISTEXT(R87),IF(ISNUMBER(V87),V87*T87*Z87/1000*Balance!$H$13/X87,0),AT87)</f>
        <v>5.3543189977019212</v>
      </c>
      <c r="AW87" s="99"/>
      <c r="AX87" s="95">
        <f>AT87*AX85</f>
        <v>4.3048724741523445</v>
      </c>
      <c r="AY87" s="95">
        <f>AU87*AY85</f>
        <v>0.51401462377938445</v>
      </c>
      <c r="AZ87" s="95">
        <f>AV87*AZ85</f>
        <v>0.53543189977019212</v>
      </c>
      <c r="BA87" s="95">
        <f>SUM(AX87:AZ87)</f>
        <v>5.3543189977019203</v>
      </c>
      <c r="BB87" s="65"/>
      <c r="BC87" s="95">
        <f>IF(ISNUMBER(I87),I87*F87*Z87/1000*Balance!$H$13/J87,0)</f>
        <v>0.69461538588667604</v>
      </c>
      <c r="BD87" s="95">
        <f>IF(ISTEXT(K87),IF(ISNUMBER(P87),P87*M87*Z87/1000*Balance!$H$13/Q87,0),BC87)</f>
        <v>0.69461538588667604</v>
      </c>
      <c r="BE87" s="95">
        <f>IF(ISTEXT(R87),IF(ISNUMBER(W87),W87*T87*Z87/1000*Balance!$H$13/X87,0),BC87)</f>
        <v>0.69461538588667604</v>
      </c>
      <c r="BF87" s="99"/>
      <c r="BG87" s="95">
        <f>BC87*BG85</f>
        <v>0.5584707702528876</v>
      </c>
      <c r="BH87" s="95">
        <f>BD87*BH85</f>
        <v>6.66830770451209E-2</v>
      </c>
      <c r="BI87" s="95">
        <f>BE87*BI85</f>
        <v>6.9461538588667604E-2</v>
      </c>
      <c r="BJ87" s="95">
        <f>SUM(BG87:BI87)</f>
        <v>0.69461538588667615</v>
      </c>
      <c r="BK87" s="65"/>
      <c r="BL87" s="65"/>
      <c r="BM87" s="361" t="str">
        <f>'Material editor'!C91</f>
        <v>318-Window frame (spruce);  kg/m³;  W/(mK); 40 years</v>
      </c>
    </row>
    <row r="88" spans="1:65" outlineLevel="1" x14ac:dyDescent="0.25">
      <c r="A88" s="61"/>
      <c r="B88" s="272"/>
      <c r="C88" s="91"/>
      <c r="D88" s="418" t="s">
        <v>1030</v>
      </c>
      <c r="E88" s="419"/>
      <c r="F88" s="94">
        <v>1</v>
      </c>
      <c r="G88" s="136">
        <f>IF(ISNUMBER(VLOOKUP(LEFT(D88,3),'Material editor'!$D$11:$H$110,'Material editor'!$E$8,0)),VLOOKUP(LEFT(D88,3),'Material editor'!$D$11:$H$110,'Material editor'!$E$8,0),"")</f>
        <v>0.13</v>
      </c>
      <c r="H88" s="137">
        <f>IF(ISNUMBER(VLOOKUP(LEFT(D88,3),'Material editor'!$D$11:$H$110,'Material editor'!$F$8,0)),VLOOKUP(LEFT(D88,3),'Material editor'!$D$11:$H$110,'Material editor'!$F$8,0),"")</f>
        <v>3027.3954833451362</v>
      </c>
      <c r="I88" s="137">
        <f>IF(ISNUMBER(VLOOKUP(LEFT(D88,3),'Material editor'!$D$11:$H$110,'Material editor'!$G$8,0)),VLOOKUP(LEFT(D88,3),'Material editor'!$D$11:$H$110,'Material editor'!$G$8,0),"")</f>
        <v>-608.78646748019798</v>
      </c>
      <c r="J88" s="137">
        <f>IF(ISNUMBER(VLOOKUP(LEFT(D88,3),'Material editor'!$D$11:$H$110,'Material editor'!$H$8,0)),VLOOKUP(LEFT(D88,3),'Material editor'!$D$11:$H$110,'Material editor'!$H$8,0),"")</f>
        <v>80</v>
      </c>
      <c r="K88" s="418"/>
      <c r="L88" s="407"/>
      <c r="M88" s="94"/>
      <c r="N88" s="136" t="str">
        <f>IF(ISNUMBER(VLOOKUP(LEFT(K88,3),'Material editor'!$D$11:$H$110,'Material editor'!$E$8,0)),VLOOKUP(LEFT(K88,3),'Material editor'!$D$11:$H$110,'Material editor'!$E$8,0),"")</f>
        <v/>
      </c>
      <c r="O88" s="137" t="str">
        <f>IF(ISNUMBER(VLOOKUP(LEFT(K88,3),'Material editor'!$D$11:$H$110,'Material editor'!$F$8,0)),VLOOKUP(LEFT(K88,3),'Material editor'!$D$11:$H$110,'Material editor'!$F$8,0),"")</f>
        <v/>
      </c>
      <c r="P88" s="137" t="str">
        <f>IF(ISNUMBER(VLOOKUP(LEFT(K88,3),'Material editor'!$D$11:$H$110,'Material editor'!$G$8,0)),VLOOKUP(LEFT(K88,3),'Material editor'!$D$11:$H$110,'Material editor'!$G$8,0),"")</f>
        <v/>
      </c>
      <c r="Q88" s="137" t="str">
        <f>IF(ISNUMBER(VLOOKUP(LEFT(K88,3),'Material editor'!$D$11:$H$110,'Material editor'!$H$8,0)),VLOOKUP(LEFT(K88,3),'Material editor'!$D$11:$H$110,'Material editor'!$H$8,0),"")</f>
        <v/>
      </c>
      <c r="R88" s="418"/>
      <c r="S88" s="407"/>
      <c r="T88" s="94"/>
      <c r="U88" s="136" t="str">
        <f>IF(ISNUMBER(VLOOKUP(LEFT(R88,3),'Material editor'!$D$11:$H$110,'Material editor'!$E$8,0)),VLOOKUP(LEFT(R88,3),'Material editor'!$D$11:$H$110,'Material editor'!$E$8,0),"")</f>
        <v/>
      </c>
      <c r="V88" s="137" t="str">
        <f>IF(ISNUMBER(VLOOKUP(LEFT(R88,3),'Material editor'!$D$11:$H$110,'Material editor'!$F$8,0)),VLOOKUP(LEFT(R88,3),'Material editor'!$D$11:$H$110,'Material editor'!$F$8,0),"")</f>
        <v/>
      </c>
      <c r="W88" s="137" t="str">
        <f>IF(ISNUMBER(VLOOKUP(LEFT(R88,3),'Material editor'!$D$11:$H$110,'Material editor'!$G$8,0)),VLOOKUP(LEFT(R88,3),'Material editor'!$D$11:$H$110,'Material editor'!$G$8,0),"")</f>
        <v/>
      </c>
      <c r="X88" s="137" t="str">
        <f>IF(ISNUMBER(VLOOKUP(LEFT(R88,3),'Material editor'!$D$11:$H$110,'Material editor'!$H$8,0)),VLOOKUP(LEFT(R88,3),'Material editor'!$D$11:$H$110,'Material editor'!$H$8,0),"")</f>
        <v/>
      </c>
      <c r="Y88" s="74"/>
      <c r="Z88" s="94">
        <v>15</v>
      </c>
      <c r="AA88" s="8"/>
      <c r="AB88" s="61"/>
      <c r="AC88" s="65"/>
      <c r="AD88" s="65"/>
      <c r="AE88" s="95">
        <f t="shared" si="62"/>
        <v>0.11538461538461538</v>
      </c>
      <c r="AF88" s="95">
        <f t="shared" si="63"/>
        <v>0.11538461538461538</v>
      </c>
      <c r="AG88" s="95">
        <f t="shared" si="64"/>
        <v>0.11538461538461538</v>
      </c>
      <c r="AH88" s="65"/>
      <c r="AI88" s="95">
        <f t="shared" si="65"/>
        <v>0.13</v>
      </c>
      <c r="AJ88" s="95">
        <f t="shared" si="66"/>
        <v>0.13</v>
      </c>
      <c r="AK88" s="95">
        <f t="shared" si="67"/>
        <v>0.13</v>
      </c>
      <c r="AL88" s="65"/>
      <c r="AM88" s="96">
        <f t="shared" ref="AM88:AO88" si="69">AM87</f>
        <v>0.80400000000000005</v>
      </c>
      <c r="AN88" s="96">
        <f t="shared" si="69"/>
        <v>9.6000000000000002E-2</v>
      </c>
      <c r="AO88" s="96">
        <f t="shared" si="69"/>
        <v>0.1</v>
      </c>
      <c r="AP88" s="65">
        <f t="shared" si="68"/>
        <v>0.11538461538461535</v>
      </c>
      <c r="AQ88" s="65"/>
      <c r="AR88" s="65"/>
      <c r="AS88" s="65"/>
      <c r="AT88" s="95">
        <f>IF(ISNUMBER(H88),H88*F88*Z88/1000*Balance!$H$13/J88,0)</f>
        <v>11.35273306254426</v>
      </c>
      <c r="AU88" s="95">
        <f>IF(ISTEXT(K88),IF(ISNUMBER(O88),O88*M88*Z88/1000*Balance!$H$13/Q88,0),AT88)</f>
        <v>11.35273306254426</v>
      </c>
      <c r="AV88" s="95">
        <f>IF(ISTEXT(R88),IF(ISNUMBER(V88),V88*T88*Z88/1000*Balance!$H$13/X88,0),AT88)</f>
        <v>11.35273306254426</v>
      </c>
      <c r="AW88" s="65"/>
      <c r="AX88" s="95">
        <f>AT88*AX85</f>
        <v>9.127597382285586</v>
      </c>
      <c r="AY88" s="95">
        <f>AU88*AY85</f>
        <v>1.089862374004249</v>
      </c>
      <c r="AZ88" s="95">
        <f>AV88*AZ85</f>
        <v>1.135273306254426</v>
      </c>
      <c r="BA88" s="95">
        <f t="shared" ref="BA88:BA94" si="70">SUM(AX88:AZ88)</f>
        <v>11.35273306254426</v>
      </c>
      <c r="BB88" s="65"/>
      <c r="BC88" s="95">
        <f>IF(ISNUMBER(I88),I88*F88*Z88/1000*Balance!$H$13/J88,0)</f>
        <v>-2.2829492530507425</v>
      </c>
      <c r="BD88" s="95">
        <f>IF(ISTEXT(K88),IF(ISNUMBER(P88),P88*M88*Z88/1000*Balance!$H$13/Q88,0),BC88)</f>
        <v>-2.2829492530507425</v>
      </c>
      <c r="BE88" s="95">
        <f>IF(ISTEXT(R88),IF(ISNUMBER(W88),W88*T88*Z88/1000*Balance!$H$13/X88,0),BC88)</f>
        <v>-2.2829492530507425</v>
      </c>
      <c r="BF88" s="65"/>
      <c r="BG88" s="95">
        <f>BC88*BG85</f>
        <v>-1.8354911994527972</v>
      </c>
      <c r="BH88" s="95">
        <f>BD88*BH85</f>
        <v>-0.2191631282928713</v>
      </c>
      <c r="BI88" s="95">
        <f>BE88*BI85</f>
        <v>-0.22829492530507425</v>
      </c>
      <c r="BJ88" s="95">
        <f t="shared" ref="BJ88:BJ94" si="71">SUM(BG88:BI88)</f>
        <v>-2.2829492530507429</v>
      </c>
      <c r="BK88" s="65"/>
      <c r="BL88" s="65"/>
      <c r="BM88" s="361" t="str">
        <f>'Material editor'!C92</f>
        <v>319-Window sash PVC-U;  kg/m³;  W/(mK); 40 years</v>
      </c>
    </row>
    <row r="89" spans="1:65" outlineLevel="1" x14ac:dyDescent="0.25">
      <c r="A89" s="61"/>
      <c r="B89" s="272"/>
      <c r="C89" s="91"/>
      <c r="D89" s="418" t="s">
        <v>1011</v>
      </c>
      <c r="E89" s="419"/>
      <c r="F89" s="94">
        <v>1</v>
      </c>
      <c r="G89" s="136">
        <f>IF(ISNUMBER(VLOOKUP(LEFT(D89,3),'Material editor'!$D$11:$H$110,'Material editor'!$E$8,0)),VLOOKUP(LEFT(D89,3),'Material editor'!$D$11:$H$110,'Material editor'!$E$8,0),"")</f>
        <v>0.04</v>
      </c>
      <c r="H89" s="137">
        <f>IF(ISNUMBER(VLOOKUP(LEFT(D89,3),'Material editor'!$D$11:$H$110,'Material editor'!$F$8,0)),VLOOKUP(LEFT(D89,3),'Material editor'!$D$11:$H$110,'Material editor'!$F$8,0),"")</f>
        <v>33.878444444444447</v>
      </c>
      <c r="I89" s="137">
        <f>IF(ISNUMBER(VLOOKUP(LEFT(D89,3),'Material editor'!$D$11:$H$110,'Material editor'!$G$8,0)),VLOOKUP(LEFT(D89,3),'Material editor'!$D$11:$H$110,'Material editor'!$G$8,0),"")</f>
        <v>-73.372500000000002</v>
      </c>
      <c r="J89" s="137">
        <f>IF(ISNUMBER(VLOOKUP(LEFT(D89,3),'Material editor'!$D$11:$H$110,'Material editor'!$H$8,0)),VLOOKUP(LEFT(D89,3),'Material editor'!$D$11:$H$110,'Material editor'!$H$8,0),"")</f>
        <v>40</v>
      </c>
      <c r="K89" s="418"/>
      <c r="L89" s="407"/>
      <c r="M89" s="94"/>
      <c r="N89" s="136" t="str">
        <f>IF(ISNUMBER(VLOOKUP(LEFT(K89,3),'Material editor'!$D$11:$H$110,'Material editor'!$E$8,0)),VLOOKUP(LEFT(K89,3),'Material editor'!$D$11:$H$110,'Material editor'!$E$8,0),"")</f>
        <v/>
      </c>
      <c r="O89" s="137" t="str">
        <f>IF(ISNUMBER(VLOOKUP(LEFT(K89,3),'Material editor'!$D$11:$H$110,'Material editor'!$F$8,0)),VLOOKUP(LEFT(K89,3),'Material editor'!$D$11:$H$110,'Material editor'!$F$8,0),"")</f>
        <v/>
      </c>
      <c r="P89" s="137" t="str">
        <f>IF(ISNUMBER(VLOOKUP(LEFT(K89,3),'Material editor'!$D$11:$H$110,'Material editor'!$G$8,0)),VLOOKUP(LEFT(K89,3),'Material editor'!$D$11:$H$110,'Material editor'!$G$8,0),"")</f>
        <v/>
      </c>
      <c r="Q89" s="137" t="str">
        <f>IF(ISNUMBER(VLOOKUP(LEFT(K89,3),'Material editor'!$D$11:$H$110,'Material editor'!$H$8,0)),VLOOKUP(LEFT(K89,3),'Material editor'!$D$11:$H$110,'Material editor'!$H$8,0),"")</f>
        <v/>
      </c>
      <c r="R89" s="418"/>
      <c r="S89" s="407"/>
      <c r="T89" s="94"/>
      <c r="U89" s="136" t="str">
        <f>IF(ISNUMBER(VLOOKUP(LEFT(R89,3),'Material editor'!$D$11:$H$110,'Material editor'!$E$8,0)),VLOOKUP(LEFT(R89,3),'Material editor'!$D$11:$H$110,'Material editor'!$E$8,0),"")</f>
        <v/>
      </c>
      <c r="V89" s="137" t="str">
        <f>IF(ISNUMBER(VLOOKUP(LEFT(R89,3),'Material editor'!$D$11:$H$110,'Material editor'!$F$8,0)),VLOOKUP(LEFT(R89,3),'Material editor'!$D$11:$H$110,'Material editor'!$F$8,0),"")</f>
        <v/>
      </c>
      <c r="W89" s="137" t="str">
        <f>IF(ISNUMBER(VLOOKUP(LEFT(R89,3),'Material editor'!$D$11:$H$110,'Material editor'!$G$8,0)),VLOOKUP(LEFT(R89,3),'Material editor'!$D$11:$H$110,'Material editor'!$G$8,0),"")</f>
        <v/>
      </c>
      <c r="X89" s="137" t="str">
        <f>IF(ISNUMBER(VLOOKUP(LEFT(R89,3),'Material editor'!$D$11:$H$110,'Material editor'!$H$8,0)),VLOOKUP(LEFT(R89,3),'Material editor'!$D$11:$H$110,'Material editor'!$H$8,0),"")</f>
        <v/>
      </c>
      <c r="Y89" s="74"/>
      <c r="Z89" s="94">
        <v>400</v>
      </c>
      <c r="AA89" s="8"/>
      <c r="AB89" s="61"/>
      <c r="AC89" s="65"/>
      <c r="AD89" s="65"/>
      <c r="AE89" s="95">
        <f t="shared" si="62"/>
        <v>10</v>
      </c>
      <c r="AF89" s="95">
        <f t="shared" si="63"/>
        <v>10</v>
      </c>
      <c r="AG89" s="95">
        <f t="shared" si="64"/>
        <v>10</v>
      </c>
      <c r="AH89" s="65"/>
      <c r="AI89" s="95">
        <f t="shared" si="65"/>
        <v>0.04</v>
      </c>
      <c r="AJ89" s="95">
        <f t="shared" si="66"/>
        <v>0.04</v>
      </c>
      <c r="AK89" s="95">
        <f t="shared" si="67"/>
        <v>0.04</v>
      </c>
      <c r="AL89" s="65"/>
      <c r="AM89" s="96">
        <f t="shared" ref="AM89:AO89" si="72">AM88</f>
        <v>0.80400000000000005</v>
      </c>
      <c r="AN89" s="96">
        <f t="shared" si="72"/>
        <v>9.6000000000000002E-2</v>
      </c>
      <c r="AO89" s="96">
        <f t="shared" si="72"/>
        <v>0.1</v>
      </c>
      <c r="AP89" s="65">
        <f t="shared" si="68"/>
        <v>9.9999999999999982</v>
      </c>
      <c r="AQ89" s="65"/>
      <c r="AR89" s="65"/>
      <c r="AS89" s="65"/>
      <c r="AT89" s="95">
        <f>IF(ISNUMBER(H89),H89*F89*Z89/1000*Balance!$H$13/J89,0)</f>
        <v>6.7756888888888911</v>
      </c>
      <c r="AU89" s="95">
        <f>IF(ISTEXT(K89),IF(ISNUMBER(O89),O89*M89*Z89/1000*Balance!$H$13/Q89,0),AT89)</f>
        <v>6.7756888888888911</v>
      </c>
      <c r="AV89" s="95">
        <f>IF(ISTEXT(R89),IF(ISNUMBER(V89),V89*T89*Z89/1000*Balance!$H$13/X89,0),AT89)</f>
        <v>6.7756888888888911</v>
      </c>
      <c r="AW89" s="65"/>
      <c r="AX89" s="95">
        <f>AT89*AX85</f>
        <v>5.447653866666669</v>
      </c>
      <c r="AY89" s="95">
        <f>AU89*AY85</f>
        <v>0.65046613333333358</v>
      </c>
      <c r="AZ89" s="95">
        <f>AV89*AZ85</f>
        <v>0.67756888888888911</v>
      </c>
      <c r="BA89" s="95">
        <f t="shared" si="70"/>
        <v>6.775688888888892</v>
      </c>
      <c r="BB89" s="65"/>
      <c r="BC89" s="95">
        <f>IF(ISNUMBER(I89),I89*F89*Z89/1000*Balance!$H$13/J89,0)</f>
        <v>-14.6745</v>
      </c>
      <c r="BD89" s="95">
        <f>IF(ISTEXT(K89),IF(ISNUMBER(P89),P89*M89*Z89/1000*Balance!$H$13/Q89,0),BC89)</f>
        <v>-14.6745</v>
      </c>
      <c r="BE89" s="95">
        <f>IF(ISTEXT(R89),IF(ISNUMBER(W89),W89*T89*Z89/1000*Balance!$H$13/X89,0),BC89)</f>
        <v>-14.6745</v>
      </c>
      <c r="BF89" s="65"/>
      <c r="BG89" s="95">
        <f>BC89*BG85</f>
        <v>-11.798298000000001</v>
      </c>
      <c r="BH89" s="95">
        <f>BD89*BH85</f>
        <v>-1.408752</v>
      </c>
      <c r="BI89" s="95">
        <f>BE89*BI85</f>
        <v>-1.4674500000000001</v>
      </c>
      <c r="BJ89" s="95">
        <f t="shared" si="71"/>
        <v>-14.6745</v>
      </c>
      <c r="BK89" s="65"/>
      <c r="BL89" s="65"/>
      <c r="BM89" s="361" t="str">
        <f>'Material editor'!C93</f>
        <v>320-Window frame PVC-U;  kg/m³;  W/(mK); 40 years</v>
      </c>
    </row>
    <row r="90" spans="1:65" outlineLevel="1" x14ac:dyDescent="0.25">
      <c r="A90" s="61"/>
      <c r="B90" s="272"/>
      <c r="C90" s="91"/>
      <c r="D90" s="418" t="s">
        <v>1028</v>
      </c>
      <c r="E90" s="419"/>
      <c r="F90" s="94">
        <v>1</v>
      </c>
      <c r="G90" s="136">
        <f>IF(ISNUMBER(VLOOKUP(LEFT(D90,3),'Material editor'!$D$11:$H$110,'Material editor'!$E$8,0)),VLOOKUP(LEFT(D90,3),'Material editor'!$D$11:$H$110,'Material editor'!$E$8,0),"")</f>
        <v>4.4999999999999998E-2</v>
      </c>
      <c r="H90" s="137">
        <f>IF(ISNUMBER(VLOOKUP(LEFT(D90,3),'Material editor'!$D$11:$H$110,'Material editor'!$F$8,0)),VLOOKUP(LEFT(D90,3),'Material editor'!$D$11:$H$110,'Material editor'!$F$8,0),"")</f>
        <v>700.38883783406686</v>
      </c>
      <c r="I90" s="137">
        <f>IF(ISNUMBER(VLOOKUP(LEFT(D90,3),'Material editor'!$D$11:$H$110,'Material editor'!$G$8,0)),VLOOKUP(LEFT(D90,3),'Material editor'!$D$11:$H$110,'Material editor'!$G$8,0),"")</f>
        <v>-153.896768984163</v>
      </c>
      <c r="J90" s="137">
        <f>IF(ISNUMBER(VLOOKUP(LEFT(D90,3),'Material editor'!$D$11:$H$110,'Material editor'!$H$8,0)),VLOOKUP(LEFT(D90,3),'Material editor'!$D$11:$H$110,'Material editor'!$H$8,0),"")</f>
        <v>40</v>
      </c>
      <c r="K90" s="418"/>
      <c r="L90" s="407"/>
      <c r="M90" s="94"/>
      <c r="N90" s="136" t="str">
        <f>IF(ISNUMBER(VLOOKUP(LEFT(K90,3),'Material editor'!$D$11:$H$110,'Material editor'!$E$8,0)),VLOOKUP(LEFT(K90,3),'Material editor'!$D$11:$H$110,'Material editor'!$E$8,0),"")</f>
        <v/>
      </c>
      <c r="O90" s="137" t="str">
        <f>IF(ISNUMBER(VLOOKUP(LEFT(K90,3),'Material editor'!$D$11:$H$110,'Material editor'!$F$8,0)),VLOOKUP(LEFT(K90,3),'Material editor'!$D$11:$H$110,'Material editor'!$F$8,0),"")</f>
        <v/>
      </c>
      <c r="P90" s="137" t="str">
        <f>IF(ISNUMBER(VLOOKUP(LEFT(K90,3),'Material editor'!$D$11:$H$110,'Material editor'!$G$8,0)),VLOOKUP(LEFT(K90,3),'Material editor'!$D$11:$H$110,'Material editor'!$G$8,0),"")</f>
        <v/>
      </c>
      <c r="Q90" s="137" t="str">
        <f>IF(ISNUMBER(VLOOKUP(LEFT(K90,3),'Material editor'!$D$11:$H$110,'Material editor'!$H$8,0)),VLOOKUP(LEFT(K90,3),'Material editor'!$D$11:$H$110,'Material editor'!$H$8,0),"")</f>
        <v/>
      </c>
      <c r="R90" s="418"/>
      <c r="S90" s="407"/>
      <c r="T90" s="94"/>
      <c r="U90" s="136" t="str">
        <f>IF(ISNUMBER(VLOOKUP(LEFT(R90,3),'Material editor'!$D$11:$H$110,'Material editor'!$E$8,0)),VLOOKUP(LEFT(R90,3),'Material editor'!$D$11:$H$110,'Material editor'!$E$8,0),"")</f>
        <v/>
      </c>
      <c r="V90" s="137" t="str">
        <f>IF(ISNUMBER(VLOOKUP(LEFT(R90,3),'Material editor'!$D$11:$H$110,'Material editor'!$F$8,0)),VLOOKUP(LEFT(R90,3),'Material editor'!$D$11:$H$110,'Material editor'!$F$8,0),"")</f>
        <v/>
      </c>
      <c r="W90" s="137" t="str">
        <f>IF(ISNUMBER(VLOOKUP(LEFT(R90,3),'Material editor'!$D$11:$H$110,'Material editor'!$G$8,0)),VLOOKUP(LEFT(R90,3),'Material editor'!$D$11:$H$110,'Material editor'!$G$8,0),"")</f>
        <v/>
      </c>
      <c r="X90" s="137" t="str">
        <f>IF(ISNUMBER(VLOOKUP(LEFT(R90,3),'Material editor'!$D$11:$H$110,'Material editor'!$H$8,0)),VLOOKUP(LEFT(R90,3),'Material editor'!$D$11:$H$110,'Material editor'!$H$8,0),"")</f>
        <v/>
      </c>
      <c r="Y90" s="74"/>
      <c r="Z90" s="94">
        <v>40</v>
      </c>
      <c r="AA90" s="8"/>
      <c r="AB90" s="61"/>
      <c r="AC90" s="65"/>
      <c r="AD90" s="65"/>
      <c r="AE90" s="95">
        <f t="shared" si="62"/>
        <v>0.88888888888888895</v>
      </c>
      <c r="AF90" s="95">
        <f t="shared" si="63"/>
        <v>0.88888888888888895</v>
      </c>
      <c r="AG90" s="95">
        <f t="shared" si="64"/>
        <v>0.88888888888888895</v>
      </c>
      <c r="AH90" s="65"/>
      <c r="AI90" s="95">
        <f t="shared" si="65"/>
        <v>4.4999999999999998E-2</v>
      </c>
      <c r="AJ90" s="95">
        <f t="shared" si="66"/>
        <v>4.4999999999999998E-2</v>
      </c>
      <c r="AK90" s="95">
        <f t="shared" si="67"/>
        <v>4.4999999999999998E-2</v>
      </c>
      <c r="AL90" s="65"/>
      <c r="AM90" s="96">
        <f t="shared" ref="AM90:AO90" si="73">AM89</f>
        <v>0.80400000000000005</v>
      </c>
      <c r="AN90" s="96">
        <f t="shared" si="73"/>
        <v>9.6000000000000002E-2</v>
      </c>
      <c r="AO90" s="96">
        <f t="shared" si="73"/>
        <v>0.1</v>
      </c>
      <c r="AP90" s="65">
        <f t="shared" si="68"/>
        <v>0.88888888888888895</v>
      </c>
      <c r="AQ90" s="65"/>
      <c r="AR90" s="65"/>
      <c r="AS90" s="65"/>
      <c r="AT90" s="95">
        <f>IF(ISNUMBER(H90),H90*F90*Z90/1000*Balance!$H$13/J90,0)</f>
        <v>14.007776756681338</v>
      </c>
      <c r="AU90" s="95">
        <f>IF(ISTEXT(K90),IF(ISNUMBER(O90),O90*M90*Z90/1000*Balance!$H$13/Q90,0),AT90)</f>
        <v>14.007776756681338</v>
      </c>
      <c r="AV90" s="95">
        <f>IF(ISTEXT(R90),IF(ISNUMBER(V90),V90*T90*Z90/1000*Balance!$H$13/X90,0),AT90)</f>
        <v>14.007776756681338</v>
      </c>
      <c r="AW90" s="65"/>
      <c r="AX90" s="95">
        <f>AT90*AX85</f>
        <v>11.262252512371797</v>
      </c>
      <c r="AY90" s="95">
        <f>AU90*AY85</f>
        <v>1.3447465686414084</v>
      </c>
      <c r="AZ90" s="95">
        <f>AV90*AZ85</f>
        <v>1.4007776756681338</v>
      </c>
      <c r="BA90" s="95">
        <f t="shared" si="70"/>
        <v>14.00777675668134</v>
      </c>
      <c r="BB90" s="65"/>
      <c r="BC90" s="95">
        <f>IF(ISNUMBER(I90),I90*F90*Z90/1000*Balance!$H$13/J90,0)</f>
        <v>-3.07793537968326</v>
      </c>
      <c r="BD90" s="95">
        <f>IF(ISTEXT(K90),IF(ISNUMBER(P90),P90*M90*Z90/1000*Balance!$H$13/Q90,0),BC90)</f>
        <v>-3.07793537968326</v>
      </c>
      <c r="BE90" s="95">
        <f>IF(ISTEXT(R90),IF(ISNUMBER(W90),W90*T90*Z90/1000*Balance!$H$13/X90,0),BC90)</f>
        <v>-3.07793537968326</v>
      </c>
      <c r="BF90" s="65"/>
      <c r="BG90" s="95">
        <f>BC90*BG85</f>
        <v>-2.4746600452653413</v>
      </c>
      <c r="BH90" s="95">
        <f>BD90*BH85</f>
        <v>-0.29548179644959299</v>
      </c>
      <c r="BI90" s="95">
        <f>BE90*BI85</f>
        <v>-0.30779353796832604</v>
      </c>
      <c r="BJ90" s="95">
        <f t="shared" si="71"/>
        <v>-3.0779353796832605</v>
      </c>
      <c r="BK90" s="65"/>
      <c r="BL90" s="65"/>
      <c r="BM90" s="361" t="str">
        <f>'Material editor'!C94</f>
        <v>321-Schüco AWS 90.SI+ frame profile for windows without triple glazing;  kg/m³;  W/(mK); 40 years</v>
      </c>
    </row>
    <row r="91" spans="1:65" outlineLevel="1" x14ac:dyDescent="0.25">
      <c r="A91" s="61"/>
      <c r="B91" s="272"/>
      <c r="C91" s="91"/>
      <c r="D91" s="418" t="s">
        <v>1031</v>
      </c>
      <c r="E91" s="419"/>
      <c r="F91" s="94">
        <v>1</v>
      </c>
      <c r="G91" s="136" t="str">
        <f>IF(ISNUMBER(VLOOKUP(LEFT(D91,3),'Material editor'!$D$11:$H$110,'Material editor'!$E$8,0)),VLOOKUP(LEFT(D91,3),'Material editor'!$D$11:$H$110,'Material editor'!$E$8,0),"")</f>
        <v/>
      </c>
      <c r="H91" s="137">
        <f>IF(ISNUMBER(VLOOKUP(LEFT(D91,3),'Material editor'!$D$11:$H$110,'Material editor'!$F$8,0)),VLOOKUP(LEFT(D91,3),'Material editor'!$D$11:$H$110,'Material editor'!$F$8,0),"")</f>
        <v>4281.6666666666661</v>
      </c>
      <c r="I91" s="137">
        <f>IF(ISNUMBER(VLOOKUP(LEFT(D91,3),'Material editor'!$D$11:$H$110,'Material editor'!$G$8,0)),VLOOKUP(LEFT(D91,3),'Material editor'!$D$11:$H$110,'Material editor'!$G$8,0),"")</f>
        <v>821.93333333333339</v>
      </c>
      <c r="J91" s="137">
        <f>IF(ISNUMBER(VLOOKUP(LEFT(D91,3),'Material editor'!$D$11:$H$110,'Material editor'!$H$8,0)),VLOOKUP(LEFT(D91,3),'Material editor'!$D$11:$H$110,'Material editor'!$H$8,0),"")</f>
        <v>80</v>
      </c>
      <c r="K91" s="418"/>
      <c r="L91" s="407"/>
      <c r="M91" s="94"/>
      <c r="N91" s="136" t="str">
        <f>IF(ISNUMBER(VLOOKUP(LEFT(K91,3),'Material editor'!$D$11:$H$110,'Material editor'!$E$8,0)),VLOOKUP(LEFT(K91,3),'Material editor'!$D$11:$H$110,'Material editor'!$E$8,0),"")</f>
        <v/>
      </c>
      <c r="O91" s="137" t="str">
        <f>IF(ISNUMBER(VLOOKUP(LEFT(K91,3),'Material editor'!$D$11:$H$110,'Material editor'!$F$8,0)),VLOOKUP(LEFT(K91,3),'Material editor'!$D$11:$H$110,'Material editor'!$F$8,0),"")</f>
        <v/>
      </c>
      <c r="P91" s="137" t="str">
        <f>IF(ISNUMBER(VLOOKUP(LEFT(K91,3),'Material editor'!$D$11:$H$110,'Material editor'!$G$8,0)),VLOOKUP(LEFT(K91,3),'Material editor'!$D$11:$H$110,'Material editor'!$G$8,0),"")</f>
        <v/>
      </c>
      <c r="Q91" s="137" t="str">
        <f>IF(ISNUMBER(VLOOKUP(LEFT(K91,3),'Material editor'!$D$11:$H$110,'Material editor'!$H$8,0)),VLOOKUP(LEFT(K91,3),'Material editor'!$D$11:$H$110,'Material editor'!$H$8,0),"")</f>
        <v/>
      </c>
      <c r="R91" s="418"/>
      <c r="S91" s="407"/>
      <c r="T91" s="94"/>
      <c r="U91" s="136" t="str">
        <f>IF(ISNUMBER(VLOOKUP(LEFT(R91,3),'Material editor'!$D$11:$H$110,'Material editor'!$E$8,0)),VLOOKUP(LEFT(R91,3),'Material editor'!$D$11:$H$110,'Material editor'!$E$8,0),"")</f>
        <v/>
      </c>
      <c r="V91" s="137" t="str">
        <f>IF(ISNUMBER(VLOOKUP(LEFT(R91,3),'Material editor'!$D$11:$H$110,'Material editor'!$F$8,0)),VLOOKUP(LEFT(R91,3),'Material editor'!$D$11:$H$110,'Material editor'!$F$8,0),"")</f>
        <v/>
      </c>
      <c r="W91" s="137" t="str">
        <f>IF(ISNUMBER(VLOOKUP(LEFT(R91,3),'Material editor'!$D$11:$H$110,'Material editor'!$G$8,0)),VLOOKUP(LEFT(R91,3),'Material editor'!$D$11:$H$110,'Material editor'!$G$8,0),"")</f>
        <v/>
      </c>
      <c r="X91" s="137" t="str">
        <f>IF(ISNUMBER(VLOOKUP(LEFT(R91,3),'Material editor'!$D$11:$H$110,'Material editor'!$H$8,0)),VLOOKUP(LEFT(R91,3),'Material editor'!$D$11:$H$110,'Material editor'!$H$8,0),"")</f>
        <v/>
      </c>
      <c r="Y91" s="74"/>
      <c r="Z91" s="94">
        <v>15</v>
      </c>
      <c r="AA91" s="8"/>
      <c r="AB91" s="61"/>
      <c r="AC91" s="65"/>
      <c r="AD91" s="65"/>
      <c r="AE91" s="95">
        <f t="shared" si="62"/>
        <v>0</v>
      </c>
      <c r="AF91" s="95">
        <f t="shared" si="63"/>
        <v>0</v>
      </c>
      <c r="AG91" s="95">
        <f t="shared" si="64"/>
        <v>0</v>
      </c>
      <c r="AH91" s="65"/>
      <c r="AI91" s="95">
        <f t="shared" si="65"/>
        <v>0</v>
      </c>
      <c r="AJ91" s="95">
        <f t="shared" si="66"/>
        <v>0</v>
      </c>
      <c r="AK91" s="95">
        <f t="shared" si="67"/>
        <v>0</v>
      </c>
      <c r="AL91" s="65"/>
      <c r="AM91" s="96">
        <f t="shared" ref="AM91:AO91" si="74">AM90</f>
        <v>0.80400000000000005</v>
      </c>
      <c r="AN91" s="96">
        <f t="shared" si="74"/>
        <v>9.6000000000000002E-2</v>
      </c>
      <c r="AO91" s="96">
        <f t="shared" si="74"/>
        <v>0.1</v>
      </c>
      <c r="AP91" s="65">
        <f t="shared" si="68"/>
        <v>0</v>
      </c>
      <c r="AQ91" s="65"/>
      <c r="AR91" s="65"/>
      <c r="AS91" s="65"/>
      <c r="AT91" s="95">
        <f>IF(ISNUMBER(H91),H91*F91*Z91/1000*Balance!$H$13/J91,0)</f>
        <v>16.056249999999999</v>
      </c>
      <c r="AU91" s="95">
        <f>IF(ISTEXT(K91),IF(ISNUMBER(O91),O91*M91*Z91/1000*Balance!$H$13/Q91,0),AT91)</f>
        <v>16.056249999999999</v>
      </c>
      <c r="AV91" s="95">
        <f>IF(ISTEXT(R91),IF(ISNUMBER(V91),V91*T91*Z91/1000*Balance!$H$13/X91,0),AT91)</f>
        <v>16.056249999999999</v>
      </c>
      <c r="AW91" s="65"/>
      <c r="AX91" s="95">
        <f>AT91*AX85</f>
        <v>12.909224999999999</v>
      </c>
      <c r="AY91" s="95">
        <f>AU91*AY85</f>
        <v>1.5413999999999999</v>
      </c>
      <c r="AZ91" s="95">
        <f>AV91*AZ85</f>
        <v>1.6056249999999999</v>
      </c>
      <c r="BA91" s="95">
        <f t="shared" si="70"/>
        <v>16.056249999999999</v>
      </c>
      <c r="BB91" s="65"/>
      <c r="BC91" s="95">
        <f>IF(ISNUMBER(I91),I91*F91*Z91/1000*Balance!$H$13/J91,0)</f>
        <v>3.0822500000000002</v>
      </c>
      <c r="BD91" s="95">
        <f>IF(ISTEXT(K91),IF(ISNUMBER(P91),P91*M91*Z91/1000*Balance!$H$13/Q91,0),BC91)</f>
        <v>3.0822500000000002</v>
      </c>
      <c r="BE91" s="95">
        <f>IF(ISTEXT(R91),IF(ISNUMBER(W91),W91*T91*Z91/1000*Balance!$H$13/X91,0),BC91)</f>
        <v>3.0822500000000002</v>
      </c>
      <c r="BF91" s="65"/>
      <c r="BG91" s="95">
        <f>BC91*BG85</f>
        <v>2.4781290000000005</v>
      </c>
      <c r="BH91" s="95">
        <f>BD91*BH85</f>
        <v>0.29589600000000005</v>
      </c>
      <c r="BI91" s="95">
        <f>BE91*BI85</f>
        <v>0.30822500000000003</v>
      </c>
      <c r="BJ91" s="95">
        <f t="shared" si="71"/>
        <v>3.0822500000000006</v>
      </c>
      <c r="BK91" s="65"/>
      <c r="BL91" s="65"/>
      <c r="BM91" s="361" t="str">
        <f>'Material editor'!C95</f>
        <v>322-Extruded polystyrene (XPS); 39 kg/m³; 0.036 W/(mK); 80 years</v>
      </c>
    </row>
    <row r="92" spans="1:65" outlineLevel="1" x14ac:dyDescent="0.25">
      <c r="A92" s="61"/>
      <c r="B92" s="272"/>
      <c r="C92" s="91"/>
      <c r="D92" s="418"/>
      <c r="E92" s="419"/>
      <c r="F92" s="94"/>
      <c r="G92" s="136" t="str">
        <f>IF(ISNUMBER(VLOOKUP(LEFT(D92,3),'Material editor'!$D$11:$H$110,'Material editor'!$E$8,0)),VLOOKUP(LEFT(D92,3),'Material editor'!$D$11:$H$110,'Material editor'!$E$8,0),"")</f>
        <v/>
      </c>
      <c r="H92" s="137" t="str">
        <f>IF(ISNUMBER(VLOOKUP(LEFT(D92,3),'Material editor'!$D$11:$H$110,'Material editor'!$F$8,0)),VLOOKUP(LEFT(D92,3),'Material editor'!$D$11:$H$110,'Material editor'!$F$8,0),"")</f>
        <v/>
      </c>
      <c r="I92" s="137" t="str">
        <f>IF(ISNUMBER(VLOOKUP(LEFT(D92,3),'Material editor'!$D$11:$H$110,'Material editor'!$G$8,0)),VLOOKUP(LEFT(D92,3),'Material editor'!$D$11:$H$110,'Material editor'!$G$8,0),"")</f>
        <v/>
      </c>
      <c r="J92" s="137" t="str">
        <f>IF(ISNUMBER(VLOOKUP(LEFT(D92,3),'Material editor'!$D$11:$H$110,'Material editor'!$H$8,0)),VLOOKUP(LEFT(D92,3),'Material editor'!$D$11:$H$110,'Material editor'!$H$8,0),"")</f>
        <v/>
      </c>
      <c r="K92" s="418"/>
      <c r="L92" s="407"/>
      <c r="M92" s="94"/>
      <c r="N92" s="136" t="str">
        <f>IF(ISNUMBER(VLOOKUP(LEFT(K92,3),'Material editor'!$D$11:$H$110,'Material editor'!$E$8,0)),VLOOKUP(LEFT(K92,3),'Material editor'!$D$11:$H$110,'Material editor'!$E$8,0),"")</f>
        <v/>
      </c>
      <c r="O92" s="137" t="str">
        <f>IF(ISNUMBER(VLOOKUP(LEFT(K92,3),'Material editor'!$D$11:$H$110,'Material editor'!$F$8,0)),VLOOKUP(LEFT(K92,3),'Material editor'!$D$11:$H$110,'Material editor'!$F$8,0),"")</f>
        <v/>
      </c>
      <c r="P92" s="137" t="str">
        <f>IF(ISNUMBER(VLOOKUP(LEFT(K92,3),'Material editor'!$D$11:$H$110,'Material editor'!$G$8,0)),VLOOKUP(LEFT(K92,3),'Material editor'!$D$11:$H$110,'Material editor'!$G$8,0),"")</f>
        <v/>
      </c>
      <c r="Q92" s="137" t="str">
        <f>IF(ISNUMBER(VLOOKUP(LEFT(K92,3),'Material editor'!$D$11:$H$110,'Material editor'!$H$8,0)),VLOOKUP(LEFT(K92,3),'Material editor'!$D$11:$H$110,'Material editor'!$H$8,0),"")</f>
        <v/>
      </c>
      <c r="R92" s="418"/>
      <c r="S92" s="407"/>
      <c r="T92" s="94"/>
      <c r="U92" s="136" t="str">
        <f>IF(ISNUMBER(VLOOKUP(LEFT(R92,3),'Material editor'!$D$11:$H$110,'Material editor'!$E$8,0)),VLOOKUP(LEFT(R92,3),'Material editor'!$D$11:$H$110,'Material editor'!$E$8,0),"")</f>
        <v/>
      </c>
      <c r="V92" s="137" t="str">
        <f>IF(ISNUMBER(VLOOKUP(LEFT(R92,3),'Material editor'!$D$11:$H$110,'Material editor'!$F$8,0)),VLOOKUP(LEFT(R92,3),'Material editor'!$D$11:$H$110,'Material editor'!$F$8,0),"")</f>
        <v/>
      </c>
      <c r="W92" s="137" t="str">
        <f>IF(ISNUMBER(VLOOKUP(LEFT(R92,3),'Material editor'!$D$11:$H$110,'Material editor'!$G$8,0)),VLOOKUP(LEFT(R92,3),'Material editor'!$D$11:$H$110,'Material editor'!$G$8,0),"")</f>
        <v/>
      </c>
      <c r="X92" s="137" t="str">
        <f>IF(ISNUMBER(VLOOKUP(LEFT(R92,3),'Material editor'!$D$11:$H$110,'Material editor'!$H$8,0)),VLOOKUP(LEFT(R92,3),'Material editor'!$D$11:$H$110,'Material editor'!$H$8,0),"")</f>
        <v/>
      </c>
      <c r="Y92" s="74"/>
      <c r="Z92" s="94"/>
      <c r="AA92" s="8"/>
      <c r="AB92" s="61"/>
      <c r="AC92" s="65"/>
      <c r="AD92" s="65"/>
      <c r="AE92" s="95">
        <f t="shared" si="62"/>
        <v>0</v>
      </c>
      <c r="AF92" s="95">
        <f t="shared" si="63"/>
        <v>0</v>
      </c>
      <c r="AG92" s="95">
        <f t="shared" si="64"/>
        <v>0</v>
      </c>
      <c r="AH92" s="65"/>
      <c r="AI92" s="95">
        <f t="shared" si="65"/>
        <v>0</v>
      </c>
      <c r="AJ92" s="95">
        <f t="shared" si="66"/>
        <v>0</v>
      </c>
      <c r="AK92" s="95">
        <f t="shared" si="67"/>
        <v>0</v>
      </c>
      <c r="AL92" s="65"/>
      <c r="AM92" s="96">
        <f t="shared" ref="AM92:AO92" si="75">AM91</f>
        <v>0.80400000000000005</v>
      </c>
      <c r="AN92" s="96">
        <f t="shared" si="75"/>
        <v>9.6000000000000002E-2</v>
      </c>
      <c r="AO92" s="96">
        <f t="shared" si="75"/>
        <v>0.1</v>
      </c>
      <c r="AP92" s="65">
        <f t="shared" si="68"/>
        <v>0</v>
      </c>
      <c r="AQ92" s="65"/>
      <c r="AR92" s="65"/>
      <c r="AS92" s="66"/>
      <c r="AT92" s="95">
        <f>IF(ISNUMBER(H92),H92*F92*Z92/1000*Balance!$H$13/J92,0)</f>
        <v>0</v>
      </c>
      <c r="AU92" s="95">
        <f>IF(ISTEXT(K92),IF(ISNUMBER(O92),O92*M92*Z92/1000*Balance!$H$13/Q92,0),AT92)</f>
        <v>0</v>
      </c>
      <c r="AV92" s="95">
        <f>IF(ISTEXT(R92),IF(ISNUMBER(V92),V92*T92*Z92/1000*Balance!$H$13/X92,0),AT92)</f>
        <v>0</v>
      </c>
      <c r="AW92" s="66"/>
      <c r="AX92" s="95">
        <f>AT92*AX85</f>
        <v>0</v>
      </c>
      <c r="AY92" s="95">
        <f>AU92*AY85</f>
        <v>0</v>
      </c>
      <c r="AZ92" s="95">
        <f>AV92*AZ85</f>
        <v>0</v>
      </c>
      <c r="BA92" s="95">
        <f t="shared" si="70"/>
        <v>0</v>
      </c>
      <c r="BB92" s="66"/>
      <c r="BC92" s="95">
        <f>IF(ISNUMBER(I92),I92*F92*Z92/1000*Balance!$H$13/J92,0)</f>
        <v>0</v>
      </c>
      <c r="BD92" s="95">
        <f>IF(ISTEXT(K92),IF(ISNUMBER(P92),P92*M92*Z92/1000*Balance!$H$13/Q92,0),BC92)</f>
        <v>0</v>
      </c>
      <c r="BE92" s="95">
        <f>IF(ISTEXT(R92),IF(ISNUMBER(W92),W92*T92*Z92/1000*Balance!$H$13/X92,0),BC92)</f>
        <v>0</v>
      </c>
      <c r="BF92" s="66"/>
      <c r="BG92" s="95">
        <f>BC92*BG85</f>
        <v>0</v>
      </c>
      <c r="BH92" s="95">
        <f>BD92*BH85</f>
        <v>0</v>
      </c>
      <c r="BI92" s="95">
        <f>BE92*BI85</f>
        <v>0</v>
      </c>
      <c r="BJ92" s="95">
        <f t="shared" si="71"/>
        <v>0</v>
      </c>
      <c r="BK92" s="66"/>
      <c r="BL92" s="66"/>
      <c r="BM92" s="361" t="str">
        <f>'Material editor'!C96</f>
        <v>323-;  kg/m³;  W/(mK);  years</v>
      </c>
    </row>
    <row r="93" spans="1:65" outlineLevel="1" x14ac:dyDescent="0.25">
      <c r="A93" s="61"/>
      <c r="B93" s="272"/>
      <c r="C93" s="91"/>
      <c r="D93" s="418"/>
      <c r="E93" s="419"/>
      <c r="F93" s="94"/>
      <c r="G93" s="136" t="str">
        <f>IF(ISNUMBER(VLOOKUP(LEFT(D93,3),'Material editor'!$D$11:$H$110,'Material editor'!$E$8,0)),VLOOKUP(LEFT(D93,3),'Material editor'!$D$11:$H$110,'Material editor'!$E$8,0),"")</f>
        <v/>
      </c>
      <c r="H93" s="137" t="str">
        <f>IF(ISNUMBER(VLOOKUP(LEFT(D93,3),'Material editor'!$D$11:$H$110,'Material editor'!$F$8,0)),VLOOKUP(LEFT(D93,3),'Material editor'!$D$11:$H$110,'Material editor'!$F$8,0),"")</f>
        <v/>
      </c>
      <c r="I93" s="137" t="str">
        <f>IF(ISNUMBER(VLOOKUP(LEFT(D93,3),'Material editor'!$D$11:$H$110,'Material editor'!$G$8,0)),VLOOKUP(LEFT(D93,3),'Material editor'!$D$11:$H$110,'Material editor'!$G$8,0),"")</f>
        <v/>
      </c>
      <c r="J93" s="137" t="str">
        <f>IF(ISNUMBER(VLOOKUP(LEFT(D93,3),'Material editor'!$D$11:$H$110,'Material editor'!$H$8,0)),VLOOKUP(LEFT(D93,3),'Material editor'!$D$11:$H$110,'Material editor'!$H$8,0),"")</f>
        <v/>
      </c>
      <c r="K93" s="418"/>
      <c r="L93" s="407"/>
      <c r="M93" s="94"/>
      <c r="N93" s="136" t="str">
        <f>IF(ISNUMBER(VLOOKUP(LEFT(K93,3),'Material editor'!$D$11:$H$110,'Material editor'!$E$8,0)),VLOOKUP(LEFT(K93,3),'Material editor'!$D$11:$H$110,'Material editor'!$E$8,0),"")</f>
        <v/>
      </c>
      <c r="O93" s="137" t="str">
        <f>IF(ISNUMBER(VLOOKUP(LEFT(K93,3),'Material editor'!$D$11:$H$110,'Material editor'!$F$8,0)),VLOOKUP(LEFT(K93,3),'Material editor'!$D$11:$H$110,'Material editor'!$F$8,0),"")</f>
        <v/>
      </c>
      <c r="P93" s="137" t="str">
        <f>IF(ISNUMBER(VLOOKUP(LEFT(K93,3),'Material editor'!$D$11:$H$110,'Material editor'!$G$8,0)),VLOOKUP(LEFT(K93,3),'Material editor'!$D$11:$H$110,'Material editor'!$G$8,0),"")</f>
        <v/>
      </c>
      <c r="Q93" s="137" t="str">
        <f>IF(ISNUMBER(VLOOKUP(LEFT(K93,3),'Material editor'!$D$11:$H$110,'Material editor'!$H$8,0)),VLOOKUP(LEFT(K93,3),'Material editor'!$D$11:$H$110,'Material editor'!$H$8,0),"")</f>
        <v/>
      </c>
      <c r="R93" s="418"/>
      <c r="S93" s="407"/>
      <c r="T93" s="94"/>
      <c r="U93" s="136" t="str">
        <f>IF(ISNUMBER(VLOOKUP(LEFT(R93,3),'Material editor'!$D$11:$H$110,'Material editor'!$E$8,0)),VLOOKUP(LEFT(R93,3),'Material editor'!$D$11:$H$110,'Material editor'!$E$8,0),"")</f>
        <v/>
      </c>
      <c r="V93" s="137" t="str">
        <f>IF(ISNUMBER(VLOOKUP(LEFT(R93,3),'Material editor'!$D$11:$H$110,'Material editor'!$F$8,0)),VLOOKUP(LEFT(R93,3),'Material editor'!$D$11:$H$110,'Material editor'!$F$8,0),"")</f>
        <v/>
      </c>
      <c r="W93" s="137" t="str">
        <f>IF(ISNUMBER(VLOOKUP(LEFT(R93,3),'Material editor'!$D$11:$H$110,'Material editor'!$G$8,0)),VLOOKUP(LEFT(R93,3),'Material editor'!$D$11:$H$110,'Material editor'!$G$8,0),"")</f>
        <v/>
      </c>
      <c r="X93" s="137" t="str">
        <f>IF(ISNUMBER(VLOOKUP(LEFT(R93,3),'Material editor'!$D$11:$H$110,'Material editor'!$H$8,0)),VLOOKUP(LEFT(R93,3),'Material editor'!$D$11:$H$110,'Material editor'!$H$8,0),"")</f>
        <v/>
      </c>
      <c r="Y93" s="74"/>
      <c r="Z93" s="94"/>
      <c r="AA93" s="8"/>
      <c r="AB93" s="61"/>
      <c r="AC93" s="65"/>
      <c r="AD93" s="65"/>
      <c r="AE93" s="95">
        <f t="shared" si="62"/>
        <v>0</v>
      </c>
      <c r="AF93" s="95">
        <f t="shared" si="63"/>
        <v>0</v>
      </c>
      <c r="AG93" s="95">
        <f t="shared" si="64"/>
        <v>0</v>
      </c>
      <c r="AH93" s="65"/>
      <c r="AI93" s="95">
        <f t="shared" si="65"/>
        <v>0</v>
      </c>
      <c r="AJ93" s="95">
        <f t="shared" si="66"/>
        <v>0</v>
      </c>
      <c r="AK93" s="95">
        <f t="shared" si="67"/>
        <v>0</v>
      </c>
      <c r="AL93" s="65"/>
      <c r="AM93" s="96">
        <f t="shared" ref="AM93:AO93" si="76">AM92</f>
        <v>0.80400000000000005</v>
      </c>
      <c r="AN93" s="96">
        <f t="shared" si="76"/>
        <v>9.6000000000000002E-2</v>
      </c>
      <c r="AO93" s="96">
        <f t="shared" si="76"/>
        <v>0.1</v>
      </c>
      <c r="AP93" s="65">
        <f t="shared" si="68"/>
        <v>0</v>
      </c>
      <c r="AQ93" s="65"/>
      <c r="AR93" s="65"/>
      <c r="AS93" s="66"/>
      <c r="AT93" s="95">
        <f>IF(ISNUMBER(H93),H93*F93*Z93/1000*Balance!$H$13/J93,0)</f>
        <v>0</v>
      </c>
      <c r="AU93" s="95">
        <f>IF(ISTEXT(K93),IF(ISNUMBER(O93),O93*M93*Z93/1000*Balance!$H$13/Q93,0),AT93)</f>
        <v>0</v>
      </c>
      <c r="AV93" s="95">
        <f>IF(ISTEXT(R93),IF(ISNUMBER(V93),V93*T93*Z93/1000*Balance!$H$13/X93,0),AT93)</f>
        <v>0</v>
      </c>
      <c r="AW93" s="66"/>
      <c r="AX93" s="95">
        <f>AT93*AX85</f>
        <v>0</v>
      </c>
      <c r="AY93" s="95">
        <f>AU93*AY85</f>
        <v>0</v>
      </c>
      <c r="AZ93" s="95">
        <f>AV93*AZ85</f>
        <v>0</v>
      </c>
      <c r="BA93" s="95">
        <f t="shared" si="70"/>
        <v>0</v>
      </c>
      <c r="BB93" s="66"/>
      <c r="BC93" s="95">
        <f>IF(ISNUMBER(I93),I93*F93*Z93/1000*Balance!$H$13/J93,0)</f>
        <v>0</v>
      </c>
      <c r="BD93" s="95">
        <f>IF(ISTEXT(K93),IF(ISNUMBER(P93),P93*M93*Z93/1000*Balance!$H$13/Q93,0),BC93)</f>
        <v>0</v>
      </c>
      <c r="BE93" s="95">
        <f>IF(ISTEXT(R93),IF(ISNUMBER(W93),W93*T93*Z93/1000*Balance!$H$13/X93,0),BC93)</f>
        <v>0</v>
      </c>
      <c r="BF93" s="66"/>
      <c r="BG93" s="95">
        <f>BC93*BG85</f>
        <v>0</v>
      </c>
      <c r="BH93" s="95">
        <f>BD93*BH85</f>
        <v>0</v>
      </c>
      <c r="BI93" s="95">
        <f>BE93*BI85</f>
        <v>0</v>
      </c>
      <c r="BJ93" s="95">
        <f t="shared" si="71"/>
        <v>0</v>
      </c>
      <c r="BK93" s="66"/>
      <c r="BL93" s="66"/>
      <c r="BM93" s="361" t="str">
        <f>'Material editor'!C97</f>
        <v>324-EPS-foam (grey) with radiation absorber; 16.6 kg/m³; 0.035 W/(mK); 60 years</v>
      </c>
    </row>
    <row r="94" spans="1:65" outlineLevel="1" x14ac:dyDescent="0.25">
      <c r="A94" s="61"/>
      <c r="B94" s="272"/>
      <c r="C94" s="91"/>
      <c r="D94" s="423"/>
      <c r="E94" s="424"/>
      <c r="F94" s="94"/>
      <c r="G94" s="136" t="str">
        <f>IF(ISNUMBER(VLOOKUP(LEFT(D94,3),'Material editor'!$D$11:$H$110,'Material editor'!$E$8,0)),VLOOKUP(LEFT(D94,3),'Material editor'!$D$11:$H$110,'Material editor'!$E$8,0),"")</f>
        <v/>
      </c>
      <c r="H94" s="137" t="str">
        <f>IF(ISNUMBER(VLOOKUP(LEFT(D94,3),'Material editor'!$D$11:$H$110,'Material editor'!$F$8,0)),VLOOKUP(LEFT(D94,3),'Material editor'!$D$11:$H$110,'Material editor'!$F$8,0),"")</f>
        <v/>
      </c>
      <c r="I94" s="137" t="str">
        <f>IF(ISNUMBER(VLOOKUP(LEFT(D94,3),'Material editor'!$D$11:$H$110,'Material editor'!$G$8,0)),VLOOKUP(LEFT(D94,3),'Material editor'!$D$11:$H$110,'Material editor'!$G$8,0),"")</f>
        <v/>
      </c>
      <c r="J94" s="137" t="str">
        <f>IF(ISNUMBER(VLOOKUP(LEFT(D94,3),'Material editor'!$D$11:$H$110,'Material editor'!$H$8,0)),VLOOKUP(LEFT(D94,3),'Material editor'!$D$11:$H$110,'Material editor'!$H$8,0),"")</f>
        <v/>
      </c>
      <c r="K94" s="418"/>
      <c r="L94" s="407"/>
      <c r="M94" s="94"/>
      <c r="N94" s="136" t="str">
        <f>IF(ISNUMBER(VLOOKUP(LEFT(K94,3),'Material editor'!$D$11:$H$110,'Material editor'!$E$8,0)),VLOOKUP(LEFT(K94,3),'Material editor'!$D$11:$H$110,'Material editor'!$E$8,0),"")</f>
        <v/>
      </c>
      <c r="O94" s="137" t="str">
        <f>IF(ISNUMBER(VLOOKUP(LEFT(K94,3),'Material editor'!$D$11:$H$110,'Material editor'!$F$8,0)),VLOOKUP(LEFT(K94,3),'Material editor'!$D$11:$H$110,'Material editor'!$F$8,0),"")</f>
        <v/>
      </c>
      <c r="P94" s="137" t="str">
        <f>IF(ISNUMBER(VLOOKUP(LEFT(K94,3),'Material editor'!$D$11:$H$110,'Material editor'!$G$8,0)),VLOOKUP(LEFT(K94,3),'Material editor'!$D$11:$H$110,'Material editor'!$G$8,0),"")</f>
        <v/>
      </c>
      <c r="Q94" s="137" t="str">
        <f>IF(ISNUMBER(VLOOKUP(LEFT(K94,3),'Material editor'!$D$11:$H$110,'Material editor'!$H$8,0)),VLOOKUP(LEFT(K94,3),'Material editor'!$D$11:$H$110,'Material editor'!$H$8,0),"")</f>
        <v/>
      </c>
      <c r="R94" s="418"/>
      <c r="S94" s="407"/>
      <c r="T94" s="94"/>
      <c r="U94" s="136" t="str">
        <f>IF(ISNUMBER(VLOOKUP(LEFT(R94,3),'Material editor'!$D$11:$H$110,'Material editor'!$E$8,0)),VLOOKUP(LEFT(R94,3),'Material editor'!$D$11:$H$110,'Material editor'!$E$8,0),"")</f>
        <v/>
      </c>
      <c r="V94" s="137" t="str">
        <f>IF(ISNUMBER(VLOOKUP(LEFT(R94,3),'Material editor'!$D$11:$H$110,'Material editor'!$F$8,0)),VLOOKUP(LEFT(R94,3),'Material editor'!$D$11:$H$110,'Material editor'!$F$8,0),"")</f>
        <v/>
      </c>
      <c r="W94" s="137" t="str">
        <f>IF(ISNUMBER(VLOOKUP(LEFT(R94,3),'Material editor'!$D$11:$H$110,'Material editor'!$G$8,0)),VLOOKUP(LEFT(R94,3),'Material editor'!$D$11:$H$110,'Material editor'!$G$8,0),"")</f>
        <v/>
      </c>
      <c r="X94" s="137" t="str">
        <f>IF(ISNUMBER(VLOOKUP(LEFT(R94,3),'Material editor'!$D$11:$H$110,'Material editor'!$H$8,0)),VLOOKUP(LEFT(R94,3),'Material editor'!$D$11:$H$110,'Material editor'!$H$8,0),"")</f>
        <v/>
      </c>
      <c r="Y94" s="74"/>
      <c r="Z94" s="94"/>
      <c r="AA94" s="8"/>
      <c r="AB94" s="61"/>
      <c r="AC94" s="65"/>
      <c r="AD94" s="65"/>
      <c r="AE94" s="95">
        <f t="shared" si="62"/>
        <v>0</v>
      </c>
      <c r="AF94" s="95">
        <f t="shared" si="63"/>
        <v>0</v>
      </c>
      <c r="AG94" s="95">
        <f t="shared" si="64"/>
        <v>0</v>
      </c>
      <c r="AH94" s="65"/>
      <c r="AI94" s="95">
        <f>IF(ISNUMBER(G94),G94,0)</f>
        <v>0</v>
      </c>
      <c r="AJ94" s="95">
        <f t="shared" si="66"/>
        <v>0</v>
      </c>
      <c r="AK94" s="95">
        <f t="shared" si="67"/>
        <v>0</v>
      </c>
      <c r="AL94" s="65"/>
      <c r="AM94" s="96">
        <f t="shared" ref="AM94:AO94" si="77">AM93</f>
        <v>0.80400000000000005</v>
      </c>
      <c r="AN94" s="96">
        <f t="shared" si="77"/>
        <v>9.6000000000000002E-2</v>
      </c>
      <c r="AO94" s="96">
        <f t="shared" si="77"/>
        <v>0.1</v>
      </c>
      <c r="AP94" s="65">
        <f t="shared" si="68"/>
        <v>0</v>
      </c>
      <c r="AQ94" s="65"/>
      <c r="AR94" s="65"/>
      <c r="AS94" s="66"/>
      <c r="AT94" s="95">
        <f>IF(ISNUMBER(H94),H94*F94*Z94/1000*Balance!$H$13/J94,0)</f>
        <v>0</v>
      </c>
      <c r="AU94" s="95">
        <f>IF(ISTEXT(K94),IF(ISNUMBER(O94),O94*M94*Z94/1000*Balance!$H$13/Q94,0),AT94)</f>
        <v>0</v>
      </c>
      <c r="AV94" s="95">
        <f>IF(ISTEXT(R94),IF(ISNUMBER(V94),V94*T94*Z94/1000*Balance!$H$13/X94,0),AT94)</f>
        <v>0</v>
      </c>
      <c r="AW94" s="66"/>
      <c r="AX94" s="95">
        <f>AT94*AX85</f>
        <v>0</v>
      </c>
      <c r="AY94" s="95">
        <f>AU94*AY85</f>
        <v>0</v>
      </c>
      <c r="AZ94" s="95">
        <f>AV94*AZ85</f>
        <v>0</v>
      </c>
      <c r="BA94" s="95">
        <f t="shared" si="70"/>
        <v>0</v>
      </c>
      <c r="BB94" s="66"/>
      <c r="BC94" s="95">
        <f>IF(ISNUMBER(I94),I94*F94*Z94/1000*Balance!$H$13/J94,0)</f>
        <v>0</v>
      </c>
      <c r="BD94" s="95">
        <f>IF(ISTEXT(K94),IF(ISNUMBER(P94),P94*M94*Z94/1000*Balance!$H$13/Q94,0),BC94)</f>
        <v>0</v>
      </c>
      <c r="BE94" s="95">
        <f>IF(ISTEXT(R94),IF(ISNUMBER(W94),W94*T94*Z94/1000*Balance!$H$13/X94,0),BC94)</f>
        <v>0</v>
      </c>
      <c r="BF94" s="66"/>
      <c r="BG94" s="95">
        <f>BC94*BG85</f>
        <v>0</v>
      </c>
      <c r="BH94" s="95">
        <f>BD94*BH85</f>
        <v>0</v>
      </c>
      <c r="BI94" s="95">
        <f>BE94*BI85</f>
        <v>0</v>
      </c>
      <c r="BJ94" s="95">
        <f t="shared" si="71"/>
        <v>0</v>
      </c>
      <c r="BK94" s="66"/>
      <c r="BL94" s="66"/>
      <c r="BM94" s="361" t="str">
        <f>'Material editor'!C98</f>
        <v>325-Roofing tiles (including accessories); 2020 kg/m³;  W/(mK); 80 years</v>
      </c>
    </row>
    <row r="95" spans="1:65" outlineLevel="1" x14ac:dyDescent="0.25">
      <c r="A95" s="61"/>
      <c r="B95" s="272"/>
      <c r="C95" s="77"/>
      <c r="D95" s="359">
        <f>MAX(0,1-K95-R95)</f>
        <v>0.80400000000000005</v>
      </c>
      <c r="E95" s="126" t="s">
        <v>141</v>
      </c>
      <c r="F95" s="126"/>
      <c r="H95" s="97"/>
      <c r="I95" s="97"/>
      <c r="J95" s="97"/>
      <c r="K95" s="100">
        <f>6/62.5</f>
        <v>9.6000000000000002E-2</v>
      </c>
      <c r="L95" s="126" t="s">
        <v>138</v>
      </c>
      <c r="M95" s="126"/>
      <c r="R95" s="100">
        <v>0.1</v>
      </c>
      <c r="S95" s="126" t="s">
        <v>139</v>
      </c>
      <c r="T95" s="126"/>
      <c r="V95" s="67"/>
      <c r="Y95" s="74"/>
      <c r="Z95" s="5" t="s">
        <v>140</v>
      </c>
      <c r="AA95" s="8"/>
      <c r="AB95" s="61"/>
      <c r="AC95" s="98"/>
      <c r="AD95" s="98" t="s">
        <v>124</v>
      </c>
      <c r="AE95" s="99">
        <f>IF(ISNUMBER($G87),1/($D82+SUM(AE87:AE94)+$D83),0)</f>
        <v>8.8934158318004219E-2</v>
      </c>
      <c r="AF95" s="99">
        <f>IF(ISNUMBER($G87),1/($D82+SUM(AF87:AF94)+$D83),0)</f>
        <v>8.8934158318004219E-2</v>
      </c>
      <c r="AG95" s="99">
        <f>IF(ISNUMBER($G87),1/($D82+SUM(AG87:AG94)+$D83),0)</f>
        <v>8.8934158318004219E-2</v>
      </c>
      <c r="AH95" s="65"/>
      <c r="AI95" s="65"/>
      <c r="AJ95" s="65"/>
      <c r="AK95" s="65"/>
      <c r="AL95" s="65"/>
      <c r="AM95" s="65"/>
      <c r="AN95" s="65"/>
      <c r="AO95" s="65"/>
      <c r="AP95" s="65"/>
      <c r="AQ95" s="65"/>
      <c r="AR95" s="65"/>
      <c r="AS95" s="66"/>
      <c r="AT95" s="66"/>
      <c r="AU95" s="66"/>
      <c r="AV95" s="66"/>
      <c r="AW95" s="66"/>
      <c r="AX95" s="66"/>
      <c r="AY95" s="66"/>
      <c r="AZ95" s="66"/>
      <c r="BA95" s="66"/>
      <c r="BB95" s="66"/>
      <c r="BC95" s="66"/>
      <c r="BD95" s="66"/>
      <c r="BE95" s="66"/>
      <c r="BF95" s="66"/>
      <c r="BG95" s="66"/>
      <c r="BH95" s="66"/>
      <c r="BI95" s="66"/>
      <c r="BJ95" s="66"/>
      <c r="BK95" s="66"/>
      <c r="BL95" s="66"/>
      <c r="BM95" s="361" t="str">
        <f>'Material editor'!C99</f>
        <v>326-ArmaStruct250</v>
      </c>
    </row>
    <row r="96" spans="1:65" outlineLevel="1" x14ac:dyDescent="0.25">
      <c r="A96" s="61"/>
      <c r="B96" s="272"/>
      <c r="C96" s="77"/>
      <c r="D96" s="41"/>
      <c r="E96" s="116" t="s">
        <v>150</v>
      </c>
      <c r="F96" s="116"/>
      <c r="H96" s="68"/>
      <c r="I96" s="68"/>
      <c r="J96" s="68"/>
      <c r="K96" s="157" t="str">
        <f>IF(AE102&lt;=0.1,"","Der Fehler der U-Wert-Berechnung liegt möglicherweise über 10 %. Wärmebrückenberechnung?")</f>
        <v/>
      </c>
      <c r="L96" s="68"/>
      <c r="M96" s="68"/>
      <c r="N96" s="68"/>
      <c r="R96" s="5"/>
      <c r="S96" s="5"/>
      <c r="T96" s="5"/>
      <c r="U96" s="68"/>
      <c r="V96" s="68"/>
      <c r="X96" s="68"/>
      <c r="Y96" s="5"/>
      <c r="Z96" s="189">
        <f>IF(ISNUMBER(Z87),SUM(Z87:Z95)/10,"")</f>
        <v>48</v>
      </c>
      <c r="AA96" s="10" t="s">
        <v>8</v>
      </c>
      <c r="AB96" s="61"/>
      <c r="AC96" s="98"/>
      <c r="AD96" s="98" t="s">
        <v>125</v>
      </c>
      <c r="AE96" s="101">
        <f>1-SUM(AF96:AG96)</f>
        <v>0.80400000000000005</v>
      </c>
      <c r="AF96" s="102">
        <f>K95</f>
        <v>9.6000000000000002E-2</v>
      </c>
      <c r="AG96" s="102">
        <f>R95</f>
        <v>0.1</v>
      </c>
      <c r="AH96" s="98"/>
      <c r="AI96" s="65"/>
      <c r="AJ96" s="65"/>
      <c r="AK96" s="65"/>
      <c r="AL96" s="65"/>
      <c r="AM96" s="65"/>
      <c r="AN96" s="65"/>
      <c r="AO96" s="65"/>
      <c r="AP96" s="65"/>
      <c r="AQ96" s="65"/>
      <c r="AR96" s="65" t="s">
        <v>393</v>
      </c>
      <c r="AS96" s="148"/>
      <c r="AT96" s="175" t="s">
        <v>393</v>
      </c>
      <c r="AU96" s="65" t="s">
        <v>366</v>
      </c>
      <c r="AV96" s="65" t="s">
        <v>355</v>
      </c>
      <c r="AW96" s="66"/>
      <c r="AX96" s="65" t="s">
        <v>394</v>
      </c>
      <c r="AY96" s="65" t="s">
        <v>356</v>
      </c>
      <c r="AZ96" s="66"/>
      <c r="BA96" s="66"/>
      <c r="BB96" s="66"/>
      <c r="BC96" s="66"/>
      <c r="BD96" s="66"/>
      <c r="BE96" s="66"/>
      <c r="BF96" s="66"/>
      <c r="BG96" s="66"/>
      <c r="BH96" s="66"/>
      <c r="BI96" s="66"/>
      <c r="BJ96" s="66"/>
      <c r="BK96" s="66"/>
      <c r="BL96" s="66"/>
      <c r="BM96" s="361" t="str">
        <f>'Material editor'!C100</f>
        <v>327-Holzfaserdämmstoff Trockenverfahren (Durchschnitt DE);  kg/m³;  W/(mK); 40 years</v>
      </c>
    </row>
    <row r="97" spans="1:65" outlineLevel="1" x14ac:dyDescent="0.25">
      <c r="A97" s="61"/>
      <c r="B97" s="272"/>
      <c r="C97" s="77"/>
      <c r="D97" s="68"/>
      <c r="E97" s="68"/>
      <c r="F97" s="68"/>
      <c r="G97" s="68"/>
      <c r="H97" s="68"/>
      <c r="I97" s="68"/>
      <c r="J97" s="68"/>
      <c r="K97" s="68"/>
      <c r="L97" s="68"/>
      <c r="M97" s="68"/>
      <c r="N97" s="68"/>
      <c r="O97" s="68"/>
      <c r="P97" s="68"/>
      <c r="Q97" s="68"/>
      <c r="R97" s="68"/>
      <c r="T97" s="68"/>
      <c r="U97" s="68"/>
      <c r="V97" s="68"/>
      <c r="W97" s="68"/>
      <c r="X97" s="68"/>
      <c r="Y97" s="5"/>
      <c r="Z97" s="67"/>
      <c r="AA97" s="8"/>
      <c r="AB97" s="61"/>
      <c r="AC97" s="101"/>
      <c r="AD97" s="101"/>
      <c r="AE97" s="99"/>
      <c r="AF97" s="99"/>
      <c r="AG97" s="99"/>
      <c r="AH97" s="65"/>
      <c r="AI97" s="65"/>
      <c r="AJ97" s="65"/>
      <c r="AK97" s="65"/>
      <c r="AL97" s="65"/>
      <c r="AM97" s="65"/>
      <c r="AN97" s="65"/>
      <c r="AO97" s="65"/>
      <c r="AP97" s="65"/>
      <c r="AQ97" s="65"/>
      <c r="AR97" s="65"/>
      <c r="AS97" s="65"/>
      <c r="AT97" s="101" t="s">
        <v>367</v>
      </c>
      <c r="AU97" s="176">
        <f>Z98*F82*Balance!$H$6</f>
        <v>7.0257985071223343</v>
      </c>
      <c r="AV97" s="176">
        <f>AU97*Balance!$H$13</f>
        <v>140.51597014244669</v>
      </c>
      <c r="AW97" s="66"/>
      <c r="AX97" s="66"/>
      <c r="AY97" s="66"/>
      <c r="AZ97" s="66"/>
      <c r="BA97" s="101" t="s">
        <v>351</v>
      </c>
      <c r="BB97" s="66"/>
      <c r="BC97" s="66"/>
      <c r="BD97" s="66"/>
      <c r="BE97" s="66"/>
      <c r="BF97" s="66"/>
      <c r="BG97" s="66"/>
      <c r="BH97" s="66"/>
      <c r="BI97" s="66"/>
      <c r="BJ97" s="66"/>
      <c r="BK97" s="66"/>
      <c r="BL97" s="66"/>
      <c r="BM97" s="361" t="str">
        <f>'Material editor'!C101</f>
        <v>328-Mineral wool (flat roof insulation); 145 kg/m³; 0.045 W/(mK); 80 years</v>
      </c>
    </row>
    <row r="98" spans="1:65" ht="18" outlineLevel="1" x14ac:dyDescent="0.35">
      <c r="A98" s="61"/>
      <c r="B98" s="272"/>
      <c r="C98" s="77"/>
      <c r="H98" s="68"/>
      <c r="I98" s="68"/>
      <c r="J98" s="67"/>
      <c r="K98" s="192" t="s">
        <v>397</v>
      </c>
      <c r="L98" s="67"/>
      <c r="M98" s="67"/>
      <c r="N98" s="67"/>
      <c r="O98" s="67"/>
      <c r="P98" s="67"/>
      <c r="Q98" s="67"/>
      <c r="R98" s="14" t="s">
        <v>398</v>
      </c>
      <c r="U98" s="68"/>
      <c r="V98" s="68"/>
      <c r="W98" s="68"/>
      <c r="X98" s="68"/>
      <c r="Y98" s="127" t="s">
        <v>154</v>
      </c>
      <c r="Z98" s="193">
        <f>IF(ISNUMBER(G87),IF(AE102&lt;0.1,1/AE98,1/(AP98*1.1))+D96,"")</f>
        <v>8.8934158318004233E-2</v>
      </c>
      <c r="AA98" s="8" t="s">
        <v>10</v>
      </c>
      <c r="AB98" s="61"/>
      <c r="AC98" s="101"/>
      <c r="AD98" s="101" t="s">
        <v>126</v>
      </c>
      <c r="AE98" s="95">
        <f>IF(ISNUMBER(G87),AVERAGE(AG98,AP98),0)</f>
        <v>11.244273504273503</v>
      </c>
      <c r="AF98" s="101" t="s">
        <v>127</v>
      </c>
      <c r="AG98" s="95">
        <f>IF(ISNUMBER(G87),1/SUMPRODUCT(AE96:AG96,AE95:AG95),0)</f>
        <v>11.244273504273503</v>
      </c>
      <c r="AH98" s="65"/>
      <c r="AI98" s="65"/>
      <c r="AJ98" s="65"/>
      <c r="AK98" s="65"/>
      <c r="AL98" s="103"/>
      <c r="AM98" s="65"/>
      <c r="AN98" s="65"/>
      <c r="AO98" s="101" t="s">
        <v>128</v>
      </c>
      <c r="AP98" s="95">
        <f>$D82+SUM(AP87:AP94)+$D83</f>
        <v>11.244273504273503</v>
      </c>
      <c r="AQ98" s="65"/>
      <c r="AR98" s="65"/>
      <c r="AS98" s="152" t="str">
        <f>Data!$D$4</f>
        <v>Heat pump</v>
      </c>
      <c r="AT98" s="177" t="s">
        <v>374</v>
      </c>
      <c r="AU98" s="179">
        <f>AU97/(Balance!$H$17*Balance!$H$18*Balance!$H$19)*Balance!$H$22</f>
        <v>4.6838656714148899</v>
      </c>
      <c r="AV98" s="176">
        <f>AU98*Balance!$H$13</f>
        <v>93.677313428297794</v>
      </c>
      <c r="AW98" s="66"/>
      <c r="AX98" s="186">
        <f ca="1">AU97/(Balance!$H$17*Balance!$H$18*Balance!$H$19)*Balance!$G$22/1000</f>
        <v>0.88473018237836798</v>
      </c>
      <c r="AY98" s="176">
        <f ca="1">AX98*Balance!$H$13</f>
        <v>17.694603647567359</v>
      </c>
      <c r="AZ98" s="101"/>
      <c r="BA98" s="95">
        <f>SUM(BA87:BA94)</f>
        <v>53.546767705816407</v>
      </c>
      <c r="BB98" s="66" t="s">
        <v>355</v>
      </c>
      <c r="BC98" s="66"/>
      <c r="BD98" s="66"/>
      <c r="BE98" s="66"/>
      <c r="BF98" s="66"/>
      <c r="BG98" s="66"/>
      <c r="BH98" s="66"/>
      <c r="BI98" s="101" t="s">
        <v>149</v>
      </c>
      <c r="BJ98" s="95">
        <f>SUM(BJ87:BJ94)</f>
        <v>-16.258519246847325</v>
      </c>
      <c r="BK98" s="66" t="s">
        <v>357</v>
      </c>
      <c r="BL98" s="66"/>
      <c r="BM98" s="361" t="str">
        <f>'Material editor'!C102</f>
        <v>329-;  kg/m³;  W/(mK);  years</v>
      </c>
    </row>
    <row r="99" spans="1:65" ht="15.75" outlineLevel="1" x14ac:dyDescent="0.25">
      <c r="A99" s="61"/>
      <c r="B99" s="272"/>
      <c r="C99" s="77"/>
      <c r="D99" s="155"/>
      <c r="E99" s="188" t="s">
        <v>395</v>
      </c>
      <c r="F99" s="116"/>
      <c r="H99" s="68"/>
      <c r="I99" s="68"/>
      <c r="J99" s="67"/>
      <c r="K99" s="190">
        <f>BA98</f>
        <v>53.546767705816407</v>
      </c>
      <c r="L99" s="128" t="s">
        <v>400</v>
      </c>
      <c r="M99" s="67"/>
      <c r="N99" s="67"/>
      <c r="O99" s="67"/>
      <c r="P99" s="67"/>
      <c r="Q99" s="67"/>
      <c r="R99" s="190">
        <f>BJ98</f>
        <v>-16.258519246847325</v>
      </c>
      <c r="S99" s="128" t="s">
        <v>399</v>
      </c>
      <c r="U99" s="68"/>
      <c r="V99" s="68"/>
      <c r="W99" s="68"/>
      <c r="X99" s="68"/>
      <c r="Y99" s="67"/>
      <c r="Z99" s="67"/>
      <c r="AA99" s="8"/>
      <c r="AB99" s="61"/>
      <c r="AC99" s="101"/>
      <c r="AD99" s="101"/>
      <c r="AE99" s="154"/>
      <c r="AF99" s="101"/>
      <c r="AG99" s="154"/>
      <c r="AH99" s="65"/>
      <c r="AI99" s="65"/>
      <c r="AJ99" s="65"/>
      <c r="AK99" s="65"/>
      <c r="AL99" s="103"/>
      <c r="AM99" s="65"/>
      <c r="AN99" s="65"/>
      <c r="AO99" s="101"/>
      <c r="AP99" s="154"/>
      <c r="AQ99" s="65"/>
      <c r="AR99" s="65"/>
      <c r="AS99" s="152" t="str">
        <f>Data!$D$5</f>
        <v>Direct electric</v>
      </c>
      <c r="AT99" s="177" t="s">
        <v>374</v>
      </c>
      <c r="AU99" s="179">
        <f>AU97/Balance!$H$18*Balance!$H$22</f>
        <v>12.646437312820202</v>
      </c>
      <c r="AV99" s="176">
        <f>AU99*Balance!$H$13</f>
        <v>252.92874625640405</v>
      </c>
      <c r="AW99" s="66"/>
      <c r="AX99" s="186">
        <f ca="1">AU97/Balance!$H$18*Balance!$G$22/1000</f>
        <v>2.3887714924215939</v>
      </c>
      <c r="AY99" s="176">
        <f ca="1">AX99*Balance!$H$13</f>
        <v>47.775429848431877</v>
      </c>
      <c r="AZ99" s="101"/>
      <c r="BA99" s="154"/>
      <c r="BB99" s="66"/>
      <c r="BC99" s="66"/>
      <c r="BD99" s="66"/>
      <c r="BE99" s="66"/>
      <c r="BF99" s="66"/>
      <c r="BG99" s="66"/>
      <c r="BH99" s="66"/>
      <c r="BI99" s="101"/>
      <c r="BJ99" s="154"/>
      <c r="BK99" s="66"/>
      <c r="BL99" s="66"/>
      <c r="BM99" s="361" t="str">
        <f>'Material editor'!C103</f>
        <v>330-;  kg/m³;  W/(mK);  years</v>
      </c>
    </row>
    <row r="100" spans="1:65" ht="15.75" outlineLevel="1" x14ac:dyDescent="0.25">
      <c r="A100" s="61"/>
      <c r="B100" s="272"/>
      <c r="C100" s="77"/>
      <c r="D100" s="155"/>
      <c r="E100" s="188" t="s">
        <v>396</v>
      </c>
      <c r="F100" s="116"/>
      <c r="H100" s="68"/>
      <c r="I100" s="68"/>
      <c r="J100" s="67"/>
      <c r="K100" s="190">
        <f>AV102</f>
        <v>93.677313428297794</v>
      </c>
      <c r="L100" s="128" t="s">
        <v>401</v>
      </c>
      <c r="M100" s="67"/>
      <c r="N100" s="67"/>
      <c r="O100" s="67"/>
      <c r="P100" s="67"/>
      <c r="Q100" s="67"/>
      <c r="R100" s="190">
        <f ca="1">AY102</f>
        <v>17.694603647567359</v>
      </c>
      <c r="S100" s="128" t="s">
        <v>358</v>
      </c>
      <c r="U100" s="68"/>
      <c r="V100" s="68"/>
      <c r="W100" s="68"/>
      <c r="X100" s="68"/>
      <c r="Y100" s="67"/>
      <c r="Z100" s="67"/>
      <c r="AA100" s="8"/>
      <c r="AB100" s="61"/>
      <c r="AC100" s="101"/>
      <c r="AD100" s="101"/>
      <c r="AE100" s="154"/>
      <c r="AF100" s="101"/>
      <c r="AG100" s="154"/>
      <c r="AH100" s="65"/>
      <c r="AI100" s="65"/>
      <c r="AJ100" s="65"/>
      <c r="AK100" s="65"/>
      <c r="AL100" s="103"/>
      <c r="AM100" s="65"/>
      <c r="AN100" s="65"/>
      <c r="AO100" s="101"/>
      <c r="AP100" s="154"/>
      <c r="AQ100" s="65"/>
      <c r="AR100" s="65"/>
      <c r="AS100" s="152" t="str">
        <f>Data!$D$6</f>
        <v>Gas boiler</v>
      </c>
      <c r="AT100" s="177" t="s">
        <v>374</v>
      </c>
      <c r="AU100" s="179">
        <f>AU97/(Balance!$H$18*Balance!$H$19)*Balance!H$23</f>
        <v>13.661274874960094</v>
      </c>
      <c r="AV100" s="176">
        <f>AU100*Balance!$H$13</f>
        <v>273.22549749920188</v>
      </c>
      <c r="AW100" s="66"/>
      <c r="AX100" s="186">
        <f ca="1">AU97/(Balance!$H$18*Balance!$H$19)*Balance!$G$23/1000</f>
        <v>1.9469640042885297</v>
      </c>
      <c r="AY100" s="176">
        <f ca="1">AX100*Balance!$H$13</f>
        <v>38.939280085770591</v>
      </c>
      <c r="AZ100" s="101"/>
      <c r="BA100" s="154"/>
      <c r="BB100" s="66"/>
      <c r="BC100" s="66"/>
      <c r="BD100" s="66"/>
      <c r="BE100" s="66"/>
      <c r="BF100" s="66"/>
      <c r="BG100" s="66"/>
      <c r="BH100" s="66"/>
      <c r="BI100" s="101"/>
      <c r="BJ100" s="154"/>
      <c r="BK100" s="66"/>
      <c r="BL100" s="66"/>
      <c r="BM100" s="361" t="str">
        <f>'Material editor'!C104</f>
        <v>331-;  kg/m³;  W/(mK);  years</v>
      </c>
    </row>
    <row r="101" spans="1:65" ht="15.75" outlineLevel="1" x14ac:dyDescent="0.25">
      <c r="A101" s="61"/>
      <c r="B101" s="272"/>
      <c r="C101" s="77"/>
      <c r="D101" s="155"/>
      <c r="E101" s="188" t="s">
        <v>352</v>
      </c>
      <c r="F101" s="116"/>
      <c r="H101" s="68"/>
      <c r="I101" s="68"/>
      <c r="J101" s="67"/>
      <c r="K101" s="191">
        <f>K100+K99</f>
        <v>147.22408113411421</v>
      </c>
      <c r="L101" s="128" t="s">
        <v>355</v>
      </c>
      <c r="M101" s="67"/>
      <c r="N101" s="67"/>
      <c r="O101" s="67"/>
      <c r="P101" s="67"/>
      <c r="Q101" s="67"/>
      <c r="R101" s="191">
        <f ca="1">R100+R99</f>
        <v>1.4360844007200342</v>
      </c>
      <c r="S101" s="128" t="s">
        <v>358</v>
      </c>
      <c r="T101" s="153"/>
      <c r="U101" s="68"/>
      <c r="V101" s="68"/>
      <c r="W101" s="68"/>
      <c r="X101" s="68"/>
      <c r="Y101" s="67"/>
      <c r="Z101" s="67"/>
      <c r="AA101" s="8"/>
      <c r="AB101" s="61"/>
      <c r="AC101" s="101"/>
      <c r="AD101" s="101"/>
      <c r="AE101" s="154"/>
      <c r="AF101" s="101"/>
      <c r="AG101" s="154"/>
      <c r="AH101" s="65"/>
      <c r="AI101" s="65"/>
      <c r="AJ101" s="65"/>
      <c r="AK101" s="65"/>
      <c r="AL101" s="103"/>
      <c r="AM101" s="65"/>
      <c r="AN101" s="65"/>
      <c r="AO101" s="101"/>
      <c r="AP101" s="154"/>
      <c r="AQ101" s="65"/>
      <c r="AR101" s="65"/>
      <c r="AS101" s="152" t="str">
        <f>Data!$D$7</f>
        <v>Biomass</v>
      </c>
      <c r="AT101" s="177" t="s">
        <v>374</v>
      </c>
      <c r="AU101" s="179">
        <f>AU97/(Balance!$H$18*Balance!$H$19)*Balance!$H$24</f>
        <v>8.587087064260631</v>
      </c>
      <c r="AV101" s="176">
        <f>AU101*Balance!$H$13</f>
        <v>171.74174128521261</v>
      </c>
      <c r="AW101" s="66"/>
      <c r="AX101" s="186">
        <f ca="1">AU97/(Balance!$H$18*Balance!$H$19)*Balance!$G$24/1000</f>
        <v>0.16588690919594398</v>
      </c>
      <c r="AY101" s="176">
        <f ca="1">AX101*Balance!$H$13</f>
        <v>3.3177381839188795</v>
      </c>
      <c r="AZ101" s="101"/>
      <c r="BA101" s="154"/>
      <c r="BB101" s="66"/>
      <c r="BC101" s="66"/>
      <c r="BD101" s="66"/>
      <c r="BE101" s="66"/>
      <c r="BF101" s="66"/>
      <c r="BG101" s="66"/>
      <c r="BH101" s="66"/>
      <c r="BI101" s="101"/>
      <c r="BJ101" s="154"/>
      <c r="BK101" s="66"/>
      <c r="BL101" s="66"/>
      <c r="BM101" s="361" t="str">
        <f>'Material editor'!C105</f>
        <v>332-;  kg/m³;  W/(mK);  years</v>
      </c>
    </row>
    <row r="102" spans="1:65" outlineLevel="1" x14ac:dyDescent="0.25">
      <c r="A102" s="61"/>
      <c r="B102" s="272"/>
      <c r="C102" s="104"/>
      <c r="D102" s="105"/>
      <c r="E102" s="106"/>
      <c r="F102" s="106"/>
      <c r="G102" s="106"/>
      <c r="H102" s="107"/>
      <c r="I102" s="107"/>
      <c r="J102" s="107"/>
      <c r="K102" s="106"/>
      <c r="L102" s="106"/>
      <c r="M102" s="106"/>
      <c r="N102" s="106"/>
      <c r="O102" s="106"/>
      <c r="P102" s="106"/>
      <c r="Q102" s="106"/>
      <c r="R102" s="106"/>
      <c r="S102" s="106"/>
      <c r="T102" s="106"/>
      <c r="U102" s="106"/>
      <c r="V102" s="106"/>
      <c r="W102" s="106"/>
      <c r="X102" s="106"/>
      <c r="Y102" s="106"/>
      <c r="Z102" s="108"/>
      <c r="AA102" s="109"/>
      <c r="AB102" s="61"/>
      <c r="AC102" s="101"/>
      <c r="AD102" s="101" t="s">
        <v>129</v>
      </c>
      <c r="AE102" s="110">
        <f>IF(ISNUMBER(G87),(AG98-AP98)/(2*AE98),0)</f>
        <v>0</v>
      </c>
      <c r="AF102" s="111"/>
      <c r="AG102" s="65"/>
      <c r="AH102" s="101"/>
      <c r="AI102" s="65"/>
      <c r="AJ102" s="65"/>
      <c r="AK102" s="65"/>
      <c r="AL102" s="65"/>
      <c r="AM102" s="65"/>
      <c r="AN102" s="65"/>
      <c r="AO102" s="65"/>
      <c r="AP102" s="66"/>
      <c r="AQ102" s="65"/>
      <c r="AR102" s="65"/>
      <c r="AS102" s="178" t="str">
        <f>Balance!$G$16</f>
        <v>Heat pump</v>
      </c>
      <c r="AT102" s="66"/>
      <c r="AU102" s="185">
        <f>VLOOKUP(AS102,AS98:AU101,3,0)</f>
        <v>4.6838656714148899</v>
      </c>
      <c r="AV102" s="185">
        <f>VLOOKUP(AS102,AS98:AV101,4,0)</f>
        <v>93.677313428297794</v>
      </c>
      <c r="AW102" s="185"/>
      <c r="AX102" s="187">
        <f ca="1">VLOOKUP(AS102,AS98:AX101,6,0)</f>
        <v>0.88473018237836798</v>
      </c>
      <c r="AY102" s="185">
        <f ca="1">VLOOKUP(AS102,AS98:AY101,7,0)</f>
        <v>17.694603647567359</v>
      </c>
      <c r="AZ102" s="66"/>
      <c r="BA102" s="66"/>
      <c r="BB102" s="66"/>
      <c r="BC102" s="66"/>
      <c r="BD102" s="66"/>
      <c r="BE102" s="66"/>
      <c r="BF102" s="66"/>
      <c r="BG102" s="66"/>
      <c r="BH102" s="66"/>
      <c r="BI102" s="66"/>
      <c r="BJ102" s="66"/>
      <c r="BK102" s="66"/>
      <c r="BL102" s="66"/>
      <c r="BM102" s="361" t="str">
        <f>'Material editor'!C106</f>
        <v>333-;  kg/m³;  W/(mK);  years</v>
      </c>
    </row>
    <row r="103" spans="1:65" outlineLevel="1" x14ac:dyDescent="0.25">
      <c r="B103" s="201"/>
      <c r="R103" s="127"/>
      <c r="BM103" s="361" t="str">
        <f>'Material editor'!C107</f>
        <v>334-;  kg/m³;  W/(mK);  years</v>
      </c>
    </row>
    <row r="104" spans="1:65" outlineLevel="1" x14ac:dyDescent="0.25">
      <c r="A104" s="61"/>
      <c r="B104" s="272"/>
      <c r="C104" s="62"/>
      <c r="D104" s="114" t="s">
        <v>131</v>
      </c>
      <c r="E104" s="115" t="s">
        <v>132</v>
      </c>
      <c r="F104" s="115"/>
      <c r="G104" s="63"/>
      <c r="H104" s="63"/>
      <c r="I104" s="63"/>
      <c r="J104" s="63"/>
      <c r="K104" s="63"/>
      <c r="L104" s="63"/>
      <c r="M104" s="63"/>
      <c r="N104" s="63"/>
      <c r="O104" s="63"/>
      <c r="P104" s="63"/>
      <c r="Q104" s="63"/>
      <c r="R104" s="63"/>
      <c r="S104" s="63"/>
      <c r="T104" s="63"/>
      <c r="U104" s="63"/>
      <c r="V104" s="63"/>
      <c r="W104" s="63"/>
      <c r="X104" s="63"/>
      <c r="Y104" s="63"/>
      <c r="Z104" s="63"/>
      <c r="AA104" s="64"/>
      <c r="AB104" s="61"/>
      <c r="AC104" s="65" t="s">
        <v>402</v>
      </c>
      <c r="AD104" s="65"/>
      <c r="AE104" s="65"/>
      <c r="AF104" s="65"/>
      <c r="AG104" s="65"/>
      <c r="AH104" s="65"/>
      <c r="AI104" s="65"/>
      <c r="AJ104" s="65"/>
      <c r="AK104" s="65"/>
      <c r="AL104" s="65"/>
      <c r="AM104" s="65"/>
      <c r="AN104" s="65"/>
      <c r="AO104" s="65"/>
      <c r="AP104" s="65"/>
      <c r="AQ104" s="66"/>
      <c r="AR104" s="65" t="s">
        <v>405</v>
      </c>
      <c r="AS104" s="65"/>
      <c r="AT104" s="65"/>
      <c r="AU104" s="65"/>
      <c r="AV104" s="65"/>
      <c r="AW104" s="65"/>
      <c r="AX104" s="65"/>
      <c r="AY104" s="65"/>
      <c r="AZ104" s="65"/>
      <c r="BA104" s="65"/>
      <c r="BB104" s="65" t="s">
        <v>403</v>
      </c>
      <c r="BC104" s="65"/>
      <c r="BD104" s="65"/>
      <c r="BE104" s="65"/>
      <c r="BF104" s="65"/>
      <c r="BG104" s="65"/>
      <c r="BH104" s="65"/>
      <c r="BI104" s="65"/>
      <c r="BJ104" s="65"/>
      <c r="BK104" s="65"/>
      <c r="BL104" s="65"/>
      <c r="BM104" s="361" t="str">
        <f>'Material editor'!C108</f>
        <v>335-;  kg/m³;  W/(mK);  years</v>
      </c>
    </row>
    <row r="105" spans="1:65" ht="15.75" x14ac:dyDescent="0.25">
      <c r="A105" s="61"/>
      <c r="B105" s="272"/>
      <c r="C105" s="69"/>
      <c r="D105" s="70">
        <v>4</v>
      </c>
      <c r="E105" s="71" t="s">
        <v>929</v>
      </c>
      <c r="F105" s="92"/>
      <c r="G105" s="72"/>
      <c r="H105" s="72"/>
      <c r="I105" s="72"/>
      <c r="J105" s="72"/>
      <c r="K105" s="72"/>
      <c r="L105" s="72"/>
      <c r="M105" s="72"/>
      <c r="N105" s="72"/>
      <c r="O105" s="72"/>
      <c r="P105" s="72"/>
      <c r="Q105" s="72"/>
      <c r="R105" s="72"/>
      <c r="S105" s="72"/>
      <c r="T105" s="72"/>
      <c r="U105" s="72"/>
      <c r="V105" s="72"/>
      <c r="W105" s="72"/>
      <c r="X105" s="72"/>
      <c r="Y105" s="72"/>
      <c r="Z105" s="73"/>
      <c r="AA105" s="75"/>
      <c r="AB105" s="61"/>
      <c r="AC105" s="65"/>
      <c r="AD105" s="65"/>
      <c r="AE105" s="76" t="s">
        <v>114</v>
      </c>
      <c r="AF105" s="65"/>
      <c r="AG105" s="65"/>
      <c r="AH105" s="65"/>
      <c r="AI105" s="65"/>
      <c r="AJ105" s="65"/>
      <c r="AK105" s="65"/>
      <c r="AL105" s="65"/>
      <c r="AM105" s="65"/>
      <c r="AN105" s="65"/>
      <c r="AO105" s="65"/>
      <c r="AP105" s="66"/>
      <c r="AQ105" s="65"/>
      <c r="AR105" s="65" t="s">
        <v>404</v>
      </c>
      <c r="AS105" s="65"/>
      <c r="AT105" s="65"/>
      <c r="AU105" s="65"/>
      <c r="AV105" s="65"/>
      <c r="AW105" s="65"/>
      <c r="AX105" s="65"/>
      <c r="AY105" s="65"/>
      <c r="AZ105" s="65"/>
      <c r="BA105" s="65"/>
      <c r="BB105" s="65" t="s">
        <v>407</v>
      </c>
      <c r="BC105" s="65"/>
      <c r="BD105" s="65"/>
      <c r="BE105" s="65"/>
      <c r="BF105" s="65"/>
      <c r="BG105" s="65"/>
      <c r="BH105" s="65"/>
      <c r="BI105" s="65"/>
      <c r="BJ105" s="65"/>
      <c r="BK105" s="65"/>
      <c r="BL105" s="65"/>
      <c r="BM105" s="361" t="str">
        <f>'Material editor'!C109</f>
        <v>336-;  kg/m³;  W/(mK);  years</v>
      </c>
    </row>
    <row r="106" spans="1:65" outlineLevel="1" x14ac:dyDescent="0.25">
      <c r="A106" s="61"/>
      <c r="B106" s="272"/>
      <c r="C106" s="77"/>
      <c r="D106" s="116" t="s">
        <v>133</v>
      </c>
      <c r="E106" s="78"/>
      <c r="F106" s="78"/>
      <c r="AA106" s="75"/>
      <c r="AB106" s="61"/>
      <c r="AC106" s="65"/>
      <c r="AD106" s="65"/>
      <c r="AE106" s="65"/>
      <c r="AF106" s="65"/>
      <c r="AG106" s="65"/>
      <c r="AH106" s="65"/>
      <c r="AI106" s="65"/>
      <c r="AJ106" s="65"/>
      <c r="AK106" s="65"/>
      <c r="AL106" s="65"/>
      <c r="AM106" s="65"/>
      <c r="AN106" s="65"/>
      <c r="AO106" s="65"/>
      <c r="AP106" s="66"/>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361" t="str">
        <f>'Material editor'!C110</f>
        <v>337-;  kg/m³;  W/(mK);  years</v>
      </c>
    </row>
    <row r="107" spans="1:65" outlineLevel="1" x14ac:dyDescent="0.25">
      <c r="A107" s="61"/>
      <c r="B107" s="272"/>
      <c r="C107" s="77"/>
      <c r="D107" s="79">
        <v>0.13</v>
      </c>
      <c r="E107" s="2" t="s">
        <v>151</v>
      </c>
      <c r="F107" s="138">
        <v>0</v>
      </c>
      <c r="G107" s="61"/>
      <c r="H107" s="74"/>
      <c r="I107" s="74"/>
      <c r="J107" s="74"/>
      <c r="K107" s="2" t="s">
        <v>921</v>
      </c>
      <c r="L107" s="74"/>
      <c r="M107" s="74"/>
      <c r="N107" s="74"/>
      <c r="AA107" s="75"/>
      <c r="AB107" s="61"/>
      <c r="AC107" s="65"/>
      <c r="AD107" s="65"/>
      <c r="AE107" s="65" t="s">
        <v>115</v>
      </c>
      <c r="AF107" s="65"/>
      <c r="AG107" s="65"/>
      <c r="AH107" s="65"/>
      <c r="AI107" s="65" t="s">
        <v>116</v>
      </c>
      <c r="AJ107" s="65"/>
      <c r="AK107" s="65"/>
      <c r="AL107" s="65"/>
      <c r="AM107" s="65"/>
      <c r="AN107" s="65"/>
      <c r="AO107" s="65"/>
      <c r="AP107" s="66"/>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358"/>
    </row>
    <row r="108" spans="1:65" ht="15.75" outlineLevel="1" x14ac:dyDescent="0.25">
      <c r="A108" s="61"/>
      <c r="B108" s="272"/>
      <c r="C108" s="77"/>
      <c r="D108" s="79">
        <v>0.04</v>
      </c>
      <c r="E108" s="2" t="s">
        <v>152</v>
      </c>
      <c r="F108" s="2"/>
      <c r="G108" s="61"/>
      <c r="H108" s="74"/>
      <c r="I108" s="74"/>
      <c r="J108" s="74"/>
      <c r="K108" s="74"/>
      <c r="L108" s="74"/>
      <c r="M108" s="74"/>
      <c r="N108" s="74"/>
      <c r="AA108" s="75"/>
      <c r="AB108" s="61"/>
      <c r="AC108" s="65"/>
      <c r="AD108" s="65"/>
      <c r="AE108" s="80" t="s">
        <v>117</v>
      </c>
      <c r="AF108" s="81"/>
      <c r="AG108" s="81"/>
      <c r="AH108" s="65"/>
      <c r="AI108" s="82" t="s">
        <v>118</v>
      </c>
      <c r="AJ108" s="81"/>
      <c r="AK108" s="81"/>
      <c r="AL108" s="65"/>
      <c r="AM108" s="83" t="s">
        <v>119</v>
      </c>
      <c r="AN108" s="84"/>
      <c r="AO108" s="8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358"/>
    </row>
    <row r="109" spans="1:65" ht="15.75" outlineLevel="1" x14ac:dyDescent="0.25">
      <c r="A109" s="61"/>
      <c r="B109" s="272"/>
      <c r="C109" s="77"/>
      <c r="D109" s="74"/>
      <c r="E109" s="61"/>
      <c r="F109" s="61"/>
      <c r="G109" s="61"/>
      <c r="H109" s="74"/>
      <c r="I109" s="74"/>
      <c r="J109" s="74"/>
      <c r="K109" s="74"/>
      <c r="L109" s="74"/>
      <c r="M109" s="74"/>
      <c r="N109" s="74"/>
      <c r="O109" s="1"/>
      <c r="P109" s="1"/>
      <c r="Q109" s="1"/>
      <c r="AA109" s="75"/>
      <c r="AB109" s="61"/>
      <c r="AC109" s="65"/>
      <c r="AD109" s="65"/>
      <c r="AE109" s="117"/>
      <c r="AF109" s="117"/>
      <c r="AG109" s="117"/>
      <c r="AH109" s="65"/>
      <c r="AI109" s="118"/>
      <c r="AJ109" s="117"/>
      <c r="AK109" s="117"/>
      <c r="AL109" s="65"/>
      <c r="AM109" s="119"/>
      <c r="AN109" s="119"/>
      <c r="AO109" s="119"/>
      <c r="AP109" s="65"/>
      <c r="AQ109" s="65"/>
      <c r="AR109" s="65"/>
      <c r="AS109" s="65"/>
      <c r="AT109" s="148" t="s">
        <v>351</v>
      </c>
      <c r="AU109" s="65"/>
      <c r="AV109" s="65"/>
      <c r="AW109" s="65"/>
      <c r="AX109" s="148"/>
      <c r="AY109" s="65"/>
      <c r="AZ109" s="65"/>
      <c r="BA109" s="65"/>
      <c r="BB109" s="65"/>
      <c r="BC109" s="148" t="s">
        <v>406</v>
      </c>
      <c r="BD109" s="65"/>
      <c r="BE109" s="65"/>
      <c r="BF109" s="65"/>
      <c r="BG109" s="148"/>
      <c r="BH109" s="65"/>
      <c r="BI109" s="65"/>
      <c r="BJ109" s="65"/>
      <c r="BK109" s="65"/>
      <c r="BL109" s="65"/>
      <c r="BM109" s="358"/>
    </row>
    <row r="110" spans="1:65" ht="22.5" outlineLevel="1" x14ac:dyDescent="0.25">
      <c r="A110" s="61"/>
      <c r="B110" s="272"/>
      <c r="C110" s="77"/>
      <c r="D110" s="121" t="str">
        <f>$D$35</f>
        <v>Area section 1</v>
      </c>
      <c r="E110" s="61"/>
      <c r="F110" s="122" t="str">
        <f>$F$35</f>
        <v>Count?</v>
      </c>
      <c r="G110" s="122" t="str">
        <f>$G$35</f>
        <v>Thermal conductivity</v>
      </c>
      <c r="H110" s="122" t="str">
        <f>$H$35</f>
        <v>Manfacturing energy</v>
      </c>
      <c r="I110" s="122" t="str">
        <f>$I$35</f>
        <v>GWP</v>
      </c>
      <c r="J110" s="122" t="str">
        <f>$J$35</f>
        <v>Service life</v>
      </c>
      <c r="K110" s="121" t="str">
        <f>$K$35</f>
        <v>Area section 2 (optional)</v>
      </c>
      <c r="L110" s="121"/>
      <c r="M110" s="122" t="str">
        <f>$M$35</f>
        <v>Count?</v>
      </c>
      <c r="N110" s="122" t="str">
        <f>$N$35</f>
        <v>Thermal conductivity</v>
      </c>
      <c r="O110" s="122" t="str">
        <f>$O$35</f>
        <v>Manfacturing energy</v>
      </c>
      <c r="P110" s="122" t="str">
        <f>$P$35</f>
        <v>GWP</v>
      </c>
      <c r="Q110" s="122" t="str">
        <f>$Q$35</f>
        <v>Service life</v>
      </c>
      <c r="R110" s="121" t="str">
        <f>$R$35</f>
        <v>Area section 3 (optional)</v>
      </c>
      <c r="S110" s="74"/>
      <c r="T110" s="122" t="str">
        <f>$T$35</f>
        <v>Count?</v>
      </c>
      <c r="U110" s="122" t="str">
        <f>$U$35</f>
        <v>Thermal conductivity</v>
      </c>
      <c r="V110" s="122" t="str">
        <f>$V$35</f>
        <v>Manfacturing energy</v>
      </c>
      <c r="W110" s="122" t="str">
        <f>$W$35</f>
        <v>GWP</v>
      </c>
      <c r="X110" s="122" t="str">
        <f>$X$35</f>
        <v>Service life</v>
      </c>
      <c r="Y110" s="74"/>
      <c r="Z110" s="122" t="str">
        <f>$Z$35</f>
        <v>Thickness</v>
      </c>
      <c r="AA110" s="75"/>
      <c r="AB110" s="61"/>
      <c r="AC110" s="65"/>
      <c r="AD110" s="65"/>
      <c r="AE110" s="86"/>
      <c r="AF110" s="87"/>
      <c r="AG110" s="65"/>
      <c r="AH110" s="65"/>
      <c r="AI110" s="65"/>
      <c r="AJ110" s="65"/>
      <c r="AK110" s="65"/>
      <c r="AL110" s="65"/>
      <c r="AM110" s="65"/>
      <c r="AN110" s="65"/>
      <c r="AO110" s="65"/>
      <c r="AP110" s="65"/>
      <c r="AQ110" s="65"/>
      <c r="AR110" s="65"/>
      <c r="AS110" s="65"/>
      <c r="AT110" s="148"/>
      <c r="AU110" s="65"/>
      <c r="AV110" s="65"/>
      <c r="AW110" s="151" t="s">
        <v>353</v>
      </c>
      <c r="AX110" s="149">
        <f>D120</f>
        <v>1</v>
      </c>
      <c r="AY110" s="150">
        <f>K120</f>
        <v>0</v>
      </c>
      <c r="AZ110" s="150">
        <f>R120</f>
        <v>0</v>
      </c>
      <c r="BA110" s="156">
        <f>SUM(AX110:AZ110)</f>
        <v>1</v>
      </c>
      <c r="BB110" s="65"/>
      <c r="BC110" s="148"/>
      <c r="BD110" s="65"/>
      <c r="BE110" s="65"/>
      <c r="BF110" s="151" t="s">
        <v>353</v>
      </c>
      <c r="BG110" s="149">
        <f>AX110</f>
        <v>1</v>
      </c>
      <c r="BH110" s="149">
        <f t="shared" ref="BH110" si="78">AY110</f>
        <v>0</v>
      </c>
      <c r="BI110" s="149">
        <f t="shared" ref="BI110" si="79">AZ110</f>
        <v>0</v>
      </c>
      <c r="BJ110" s="156">
        <f>SUM(BG110:BI110)</f>
        <v>1</v>
      </c>
      <c r="BK110" s="65"/>
      <c r="BL110" s="65"/>
      <c r="BM110" s="358"/>
    </row>
    <row r="111" spans="1:65" outlineLevel="1" x14ac:dyDescent="0.25">
      <c r="A111" s="61"/>
      <c r="B111" s="272"/>
      <c r="C111" s="77"/>
      <c r="E111" s="61"/>
      <c r="F111" s="120" t="s">
        <v>985</v>
      </c>
      <c r="G111" s="4" t="s">
        <v>135</v>
      </c>
      <c r="H111" s="120" t="s">
        <v>144</v>
      </c>
      <c r="I111" s="120" t="s">
        <v>148</v>
      </c>
      <c r="J111" s="120" t="s">
        <v>146</v>
      </c>
      <c r="K111" s="88"/>
      <c r="L111" s="88"/>
      <c r="M111" s="88"/>
      <c r="N111" s="4" t="s">
        <v>135</v>
      </c>
      <c r="O111" s="120" t="s">
        <v>144</v>
      </c>
      <c r="P111" s="120" t="s">
        <v>148</v>
      </c>
      <c r="Q111" s="120" t="s">
        <v>146</v>
      </c>
      <c r="R111" s="88"/>
      <c r="S111" s="88"/>
      <c r="T111" s="88"/>
      <c r="U111" s="4" t="s">
        <v>135</v>
      </c>
      <c r="V111" s="120" t="s">
        <v>144</v>
      </c>
      <c r="W111" s="120" t="s">
        <v>148</v>
      </c>
      <c r="X111" s="120" t="s">
        <v>146</v>
      </c>
      <c r="Y111" s="74"/>
      <c r="Z111" s="120" t="str">
        <f>$Z$36</f>
        <v>[mm]</v>
      </c>
      <c r="AA111" s="75"/>
      <c r="AB111" s="61"/>
      <c r="AC111" s="65"/>
      <c r="AD111" s="65"/>
      <c r="AE111" s="89" t="s">
        <v>120</v>
      </c>
      <c r="AF111" s="89" t="s">
        <v>121</v>
      </c>
      <c r="AG111" s="89" t="s">
        <v>122</v>
      </c>
      <c r="AH111" s="65"/>
      <c r="AI111" s="89" t="s">
        <v>120</v>
      </c>
      <c r="AJ111" s="89" t="s">
        <v>121</v>
      </c>
      <c r="AK111" s="89" t="s">
        <v>122</v>
      </c>
      <c r="AL111" s="90"/>
      <c r="AM111" s="89" t="s">
        <v>120</v>
      </c>
      <c r="AN111" s="89" t="s">
        <v>121</v>
      </c>
      <c r="AO111" s="89" t="s">
        <v>122</v>
      </c>
      <c r="AP111" s="90" t="s">
        <v>123</v>
      </c>
      <c r="AQ111" s="65"/>
      <c r="AR111" s="65"/>
      <c r="AS111" s="65"/>
      <c r="AT111" s="89" t="s">
        <v>120</v>
      </c>
      <c r="AU111" s="89" t="s">
        <v>121</v>
      </c>
      <c r="AV111" s="89" t="s">
        <v>122</v>
      </c>
      <c r="AW111" s="65"/>
      <c r="AX111" s="89" t="s">
        <v>120</v>
      </c>
      <c r="AY111" s="89" t="s">
        <v>121</v>
      </c>
      <c r="AZ111" s="89" t="s">
        <v>122</v>
      </c>
      <c r="BA111" s="89" t="s">
        <v>354</v>
      </c>
      <c r="BB111" s="65"/>
      <c r="BC111" s="89" t="s">
        <v>120</v>
      </c>
      <c r="BD111" s="89" t="s">
        <v>121</v>
      </c>
      <c r="BE111" s="89" t="s">
        <v>122</v>
      </c>
      <c r="BF111" s="65"/>
      <c r="BG111" s="89" t="s">
        <v>120</v>
      </c>
      <c r="BH111" s="89" t="s">
        <v>121</v>
      </c>
      <c r="BI111" s="89" t="s">
        <v>122</v>
      </c>
      <c r="BJ111" s="89" t="s">
        <v>354</v>
      </c>
      <c r="BK111" s="65"/>
      <c r="BL111" s="65"/>
      <c r="BM111" s="358"/>
    </row>
    <row r="112" spans="1:65" outlineLevel="1" x14ac:dyDescent="0.25">
      <c r="A112" s="61"/>
      <c r="B112" s="272"/>
      <c r="C112" s="91"/>
      <c r="D112" s="418" t="s">
        <v>1023</v>
      </c>
      <c r="E112" s="419"/>
      <c r="F112" s="94">
        <v>1</v>
      </c>
      <c r="G112" s="136">
        <f>IF(ISNUMBER(VLOOKUP(LEFT(D112,3),'Material editor'!$D$11:$H$110,'Material editor'!$E$8,0)),VLOOKUP(LEFT(D112,3),'Material editor'!$D$11:$H$110,'Material editor'!$E$8,0),"")</f>
        <v>0.54</v>
      </c>
      <c r="H112" s="137">
        <f>IF(ISNUMBER(VLOOKUP(LEFT(D112,3),'Material editor'!$D$11:$H$110,'Material editor'!$F$8,0)),VLOOKUP(LEFT(D112,3),'Material editor'!$D$11:$H$110,'Material editor'!$F$8,0),"")</f>
        <v>615.62380504232146</v>
      </c>
      <c r="I112" s="137">
        <f>IF(ISNUMBER(VLOOKUP(LEFT(D112,3),'Material editor'!$D$11:$H$110,'Material editor'!$G$8,0)),VLOOKUP(LEFT(D112,3),'Material editor'!$D$11:$H$110,'Material editor'!$G$8,0),"")</f>
        <v>118.443629056085</v>
      </c>
      <c r="J112" s="137">
        <f>IF(ISNUMBER(VLOOKUP(LEFT(D112,3),'Material editor'!$D$11:$H$110,'Material editor'!$H$8,0)),VLOOKUP(LEFT(D112,3),'Material editor'!$D$11:$H$110,'Material editor'!$H$8,0),"")</f>
        <v>40</v>
      </c>
      <c r="K112" s="418"/>
      <c r="L112" s="407"/>
      <c r="M112" s="94"/>
      <c r="N112" s="136" t="str">
        <f>IF(ISNUMBER(VLOOKUP(LEFT(K112,3),'Material editor'!$D$11:$H$110,'Material editor'!$E$8,0)),VLOOKUP(LEFT(K112,3),'Material editor'!$D$11:$H$110,'Material editor'!$E$8,0),"")</f>
        <v/>
      </c>
      <c r="O112" s="137" t="str">
        <f>IF(ISNUMBER(VLOOKUP(LEFT(K112,3),'Material editor'!$D$11:$H$110,'Material editor'!$F$8,0)),VLOOKUP(LEFT(K112,3),'Material editor'!$D$11:$H$110,'Material editor'!$F$8,0),"")</f>
        <v/>
      </c>
      <c r="P112" s="137" t="str">
        <f>IF(ISNUMBER(VLOOKUP(LEFT(K112,3),'Material editor'!$D$11:$H$110,'Material editor'!$G$8,0)),VLOOKUP(LEFT(K112,3),'Material editor'!$D$11:$H$110,'Material editor'!$G$8,0),"")</f>
        <v/>
      </c>
      <c r="Q112" s="137" t="str">
        <f>IF(ISNUMBER(VLOOKUP(LEFT(K112,3),'Material editor'!$D$11:$H$110,'Material editor'!$H$8,0)),VLOOKUP(LEFT(K112,3),'Material editor'!$D$11:$H$110,'Material editor'!$H$8,0),"")</f>
        <v/>
      </c>
      <c r="R112" s="418"/>
      <c r="S112" s="407"/>
      <c r="T112" s="94"/>
      <c r="U112" s="136" t="str">
        <f>IF(ISNUMBER(VLOOKUP(LEFT(R112,3),'Material editor'!$D$11:$H$110,'Material editor'!$E$8,0)),VLOOKUP(LEFT(R112,3),'Material editor'!$D$11:$H$110,'Material editor'!$E$8,0),"")</f>
        <v/>
      </c>
      <c r="V112" s="137" t="str">
        <f>IF(ISNUMBER(VLOOKUP(LEFT(R112,3),'Material editor'!$D$11:$H$110,'Material editor'!$F$8,0)),VLOOKUP(LEFT(R112,3),'Material editor'!$D$11:$H$110,'Material editor'!$F$8,0),"")</f>
        <v/>
      </c>
      <c r="W112" s="137" t="str">
        <f>IF(ISNUMBER(VLOOKUP(LEFT(R112,3),'Material editor'!$D$11:$H$110,'Material editor'!$G$8,0)),VLOOKUP(LEFT(R112,3),'Material editor'!$D$11:$H$110,'Material editor'!$G$8,0),"")</f>
        <v/>
      </c>
      <c r="X112" s="137" t="str">
        <f>IF(ISNUMBER(VLOOKUP(LEFT(R112,3),'Material editor'!$D$11:$H$110,'Material editor'!$H$8,0)),VLOOKUP(LEFT(R112,3),'Material editor'!$D$11:$H$110,'Material editor'!$H$8,0),"")</f>
        <v/>
      </c>
      <c r="Y112" s="74"/>
      <c r="Z112" s="94">
        <v>15</v>
      </c>
      <c r="AA112" s="8"/>
      <c r="AB112" s="61"/>
      <c r="AC112" s="65"/>
      <c r="AD112" s="65"/>
      <c r="AE112" s="95">
        <f t="shared" ref="AE112:AE119" si="80">IF(ISNUMBER(G112),IF(G112&gt;0,$Z112/1000/G112,0),0)</f>
        <v>2.7777777777777776E-2</v>
      </c>
      <c r="AF112" s="95">
        <f t="shared" ref="AF112:AF119" si="81">IF(ISNUMBER(N112),IF(N112&gt;0,$Z112/1000/N112,0),$AE112)</f>
        <v>2.7777777777777776E-2</v>
      </c>
      <c r="AG112" s="95">
        <f t="shared" ref="AG112:AG119" si="82">IF(ISNUMBER(U112),IF(U112&gt;0,$Z112/1000/U112,0),$AE112)</f>
        <v>2.7777777777777776E-2</v>
      </c>
      <c r="AH112" s="65"/>
      <c r="AI112" s="95">
        <f t="shared" ref="AI112:AI118" si="83">IF(ISNUMBER(G112),G112,0)</f>
        <v>0.54</v>
      </c>
      <c r="AJ112" s="95">
        <f t="shared" ref="AJ112:AJ119" si="84">IF(ISNUMBER(N112),IF(N112&gt;0,N112,0),$AI112)</f>
        <v>0.54</v>
      </c>
      <c r="AK112" s="95">
        <f t="shared" ref="AK112:AK119" si="85">IF(ISNUMBER(U112),IF(U112&gt;0,U112,0),$AI112)</f>
        <v>0.54</v>
      </c>
      <c r="AL112" s="65"/>
      <c r="AM112" s="96">
        <f>AE121</f>
        <v>1</v>
      </c>
      <c r="AN112" s="96">
        <f>AF121</f>
        <v>0</v>
      </c>
      <c r="AO112" s="96">
        <f>AG121</f>
        <v>0</v>
      </c>
      <c r="AP112" s="65">
        <f t="shared" ref="AP112:AP119" si="86">IF(AI112&lt;&gt;0,Z112/1000/SUMPRODUCT(AM112:AO112,AI112:AK112),0)</f>
        <v>2.7777777777777776E-2</v>
      </c>
      <c r="AQ112" s="65"/>
      <c r="AR112" s="65"/>
      <c r="AS112" s="65"/>
      <c r="AT112" s="95">
        <f>IF(ISNUMBER(H112),H112*F112*Z112/1000*Balance!$H$13/J112,0)</f>
        <v>4.6171785378174111</v>
      </c>
      <c r="AU112" s="95">
        <f>IF(ISTEXT(K112),IF(ISNUMBER(O112),O112*M112*Z112/1000*Balance!$H$13/Q112,0),AT112)</f>
        <v>4.6171785378174111</v>
      </c>
      <c r="AV112" s="95">
        <f>IF(ISTEXT(R112),IF(ISNUMBER(V112),V112*T112*Z112/1000*Balance!$H$13/X112,0),AT112)</f>
        <v>4.6171785378174111</v>
      </c>
      <c r="AW112" s="99"/>
      <c r="AX112" s="95">
        <f>AT112*AX110</f>
        <v>4.6171785378174111</v>
      </c>
      <c r="AY112" s="95">
        <f>AU112*AY110</f>
        <v>0</v>
      </c>
      <c r="AZ112" s="95">
        <f>AV112*AZ110</f>
        <v>0</v>
      </c>
      <c r="BA112" s="95">
        <f>SUM(AX112:AZ112)</f>
        <v>4.6171785378174111</v>
      </c>
      <c r="BB112" s="65"/>
      <c r="BC112" s="95">
        <f>IF(ISNUMBER(I112),I112*F112*Z112/1000*Balance!$H$13/J112,0)</f>
        <v>0.88832721792063762</v>
      </c>
      <c r="BD112" s="95">
        <f>IF(ISTEXT(K112),IF(ISNUMBER(P112),P112*M112*Z112/1000*Balance!$H$13/Q112,0),BC112)</f>
        <v>0.88832721792063762</v>
      </c>
      <c r="BE112" s="95">
        <f>IF(ISTEXT(R112),IF(ISNUMBER(W112),W112*T112*Z112/1000*Balance!$H$13/X112,0),BC112)</f>
        <v>0.88832721792063762</v>
      </c>
      <c r="BF112" s="99"/>
      <c r="BG112" s="95">
        <f>BC112*BG110</f>
        <v>0.88832721792063762</v>
      </c>
      <c r="BH112" s="95">
        <f>BD112*BH110</f>
        <v>0</v>
      </c>
      <c r="BI112" s="95">
        <f>BE112*BI110</f>
        <v>0</v>
      </c>
      <c r="BJ112" s="95">
        <f>SUM(BG112:BI112)</f>
        <v>0.88832721792063762</v>
      </c>
      <c r="BK112" s="65"/>
      <c r="BL112" s="65"/>
      <c r="BM112" s="358"/>
    </row>
    <row r="113" spans="1:65" outlineLevel="1" x14ac:dyDescent="0.25">
      <c r="A113" s="61"/>
      <c r="B113" s="272"/>
      <c r="C113" s="91"/>
      <c r="D113" s="418" t="s">
        <v>1025</v>
      </c>
      <c r="E113" s="419"/>
      <c r="F113" s="94">
        <v>1</v>
      </c>
      <c r="G113" s="136">
        <f>IF(ISNUMBER(VLOOKUP(LEFT(D113,3),'Material editor'!$D$11:$H$110,'Material editor'!$E$8,0)),VLOOKUP(LEFT(D113,3),'Material editor'!$D$11:$H$110,'Material editor'!$E$8,0),"")</f>
        <v>1</v>
      </c>
      <c r="H113" s="137">
        <f>IF(ISNUMBER(VLOOKUP(LEFT(D113,3),'Material editor'!$D$11:$H$110,'Material editor'!$F$8,0)),VLOOKUP(LEFT(D113,3),'Material editor'!$D$11:$H$110,'Material editor'!$F$8,0),"")</f>
        <v>614.05957752709162</v>
      </c>
      <c r="I113" s="137">
        <f>IF(ISNUMBER(VLOOKUP(LEFT(D113,3),'Material editor'!$D$11:$H$110,'Material editor'!$G$8,0)),VLOOKUP(LEFT(D113,3),'Material editor'!$D$11:$H$110,'Material editor'!$G$8,0),"")</f>
        <v>302.58299751328502</v>
      </c>
      <c r="J113" s="137">
        <f>IF(ISNUMBER(VLOOKUP(LEFT(D113,3),'Material editor'!$D$11:$H$110,'Material editor'!$H$8,0)),VLOOKUP(LEFT(D113,3),'Material editor'!$D$11:$H$110,'Material editor'!$H$8,0),"")</f>
        <v>80</v>
      </c>
      <c r="K113" s="418"/>
      <c r="L113" s="407"/>
      <c r="M113" s="94"/>
      <c r="N113" s="136" t="str">
        <f>IF(ISNUMBER(VLOOKUP(LEFT(K113,3),'Material editor'!$D$11:$H$110,'Material editor'!$E$8,0)),VLOOKUP(LEFT(K113,3),'Material editor'!$D$11:$H$110,'Material editor'!$E$8,0),"")</f>
        <v/>
      </c>
      <c r="O113" s="137" t="str">
        <f>IF(ISNUMBER(VLOOKUP(LEFT(K113,3),'Material editor'!$D$11:$H$110,'Material editor'!$F$8,0)),VLOOKUP(LEFT(K113,3),'Material editor'!$D$11:$H$110,'Material editor'!$F$8,0),"")</f>
        <v/>
      </c>
      <c r="P113" s="137" t="str">
        <f>IF(ISNUMBER(VLOOKUP(LEFT(K113,3),'Material editor'!$D$11:$H$110,'Material editor'!$G$8,0)),VLOOKUP(LEFT(K113,3),'Material editor'!$D$11:$H$110,'Material editor'!$G$8,0),"")</f>
        <v/>
      </c>
      <c r="Q113" s="137" t="str">
        <f>IF(ISNUMBER(VLOOKUP(LEFT(K113,3),'Material editor'!$D$11:$H$110,'Material editor'!$H$8,0)),VLOOKUP(LEFT(K113,3),'Material editor'!$D$11:$H$110,'Material editor'!$H$8,0),"")</f>
        <v/>
      </c>
      <c r="R113" s="418"/>
      <c r="S113" s="407"/>
      <c r="T113" s="94"/>
      <c r="U113" s="136" t="str">
        <f>IF(ISNUMBER(VLOOKUP(LEFT(R113,3),'Material editor'!$D$11:$H$110,'Material editor'!$E$8,0)),VLOOKUP(LEFT(R113,3),'Material editor'!$D$11:$H$110,'Material editor'!$E$8,0),"")</f>
        <v/>
      </c>
      <c r="V113" s="137" t="str">
        <f>IF(ISNUMBER(VLOOKUP(LEFT(R113,3),'Material editor'!$D$11:$H$110,'Material editor'!$F$8,0)),VLOOKUP(LEFT(R113,3),'Material editor'!$D$11:$H$110,'Material editor'!$F$8,0),"")</f>
        <v/>
      </c>
      <c r="W113" s="137" t="str">
        <f>IF(ISNUMBER(VLOOKUP(LEFT(R113,3),'Material editor'!$D$11:$H$110,'Material editor'!$G$8,0)),VLOOKUP(LEFT(R113,3),'Material editor'!$D$11:$H$110,'Material editor'!$G$8,0),"")</f>
        <v/>
      </c>
      <c r="X113" s="137" t="str">
        <f>IF(ISNUMBER(VLOOKUP(LEFT(R113,3),'Material editor'!$D$11:$H$110,'Material editor'!$H$8,0)),VLOOKUP(LEFT(R113,3),'Material editor'!$D$11:$H$110,'Material editor'!$H$8,0),"")</f>
        <v/>
      </c>
      <c r="Y113" s="74"/>
      <c r="Z113" s="94">
        <v>175</v>
      </c>
      <c r="AA113" s="8"/>
      <c r="AB113" s="61"/>
      <c r="AC113" s="65"/>
      <c r="AD113" s="65"/>
      <c r="AE113" s="95">
        <f t="shared" si="80"/>
        <v>0.17499999999999999</v>
      </c>
      <c r="AF113" s="95">
        <f t="shared" si="81"/>
        <v>0.17499999999999999</v>
      </c>
      <c r="AG113" s="95">
        <f t="shared" si="82"/>
        <v>0.17499999999999999</v>
      </c>
      <c r="AH113" s="65"/>
      <c r="AI113" s="95">
        <f t="shared" si="83"/>
        <v>1</v>
      </c>
      <c r="AJ113" s="95">
        <f t="shared" si="84"/>
        <v>1</v>
      </c>
      <c r="AK113" s="95">
        <f t="shared" si="85"/>
        <v>1</v>
      </c>
      <c r="AL113" s="65"/>
      <c r="AM113" s="96">
        <f t="shared" ref="AM113:AO113" si="87">AM112</f>
        <v>1</v>
      </c>
      <c r="AN113" s="96">
        <f t="shared" si="87"/>
        <v>0</v>
      </c>
      <c r="AO113" s="96">
        <f t="shared" si="87"/>
        <v>0</v>
      </c>
      <c r="AP113" s="65">
        <f t="shared" si="86"/>
        <v>0.17499999999999999</v>
      </c>
      <c r="AQ113" s="65"/>
      <c r="AR113" s="65"/>
      <c r="AS113" s="65"/>
      <c r="AT113" s="95">
        <f>IF(ISNUMBER(H113),H113*F113*Z113/1000*Balance!$H$13/J113,0)</f>
        <v>26.865106516810261</v>
      </c>
      <c r="AU113" s="95">
        <f>IF(ISTEXT(K113),IF(ISNUMBER(O113),O113*M113*Z113/1000*Balance!$H$13/Q113,0),AT113)</f>
        <v>26.865106516810261</v>
      </c>
      <c r="AV113" s="95">
        <f>IF(ISTEXT(R113),IF(ISNUMBER(V113),V113*T113*Z113/1000*Balance!$H$13/X113,0),AT113)</f>
        <v>26.865106516810261</v>
      </c>
      <c r="AW113" s="65"/>
      <c r="AX113" s="95">
        <f>AT113*AX110</f>
        <v>26.865106516810261</v>
      </c>
      <c r="AY113" s="95">
        <f>AU113*AY110</f>
        <v>0</v>
      </c>
      <c r="AZ113" s="95">
        <f>AV113*AZ110</f>
        <v>0</v>
      </c>
      <c r="BA113" s="95">
        <f t="shared" ref="BA113:BA119" si="88">SUM(AX113:AZ113)</f>
        <v>26.865106516810261</v>
      </c>
      <c r="BB113" s="65"/>
      <c r="BC113" s="95">
        <f>IF(ISNUMBER(I113),I113*F113*Z113/1000*Balance!$H$13/J113,0)</f>
        <v>13.238006141206222</v>
      </c>
      <c r="BD113" s="95">
        <f>IF(ISTEXT(K113),IF(ISNUMBER(P113),P113*M113*Z113/1000*Balance!$H$13/Q113,0),BC113)</f>
        <v>13.238006141206222</v>
      </c>
      <c r="BE113" s="95">
        <f>IF(ISTEXT(R113),IF(ISNUMBER(W113),W113*T113*Z113/1000*Balance!$H$13/X113,0),BC113)</f>
        <v>13.238006141206222</v>
      </c>
      <c r="BF113" s="65"/>
      <c r="BG113" s="95">
        <f>BC113*BG110</f>
        <v>13.238006141206222</v>
      </c>
      <c r="BH113" s="95">
        <f>BD113*BH110</f>
        <v>0</v>
      </c>
      <c r="BI113" s="95">
        <f>BE113*BI110</f>
        <v>0</v>
      </c>
      <c r="BJ113" s="95">
        <f t="shared" ref="BJ113:BJ119" si="89">SUM(BG113:BI113)</f>
        <v>13.238006141206222</v>
      </c>
      <c r="BK113" s="65"/>
      <c r="BL113" s="65"/>
      <c r="BM113" s="358"/>
    </row>
    <row r="114" spans="1:65" outlineLevel="1" x14ac:dyDescent="0.25">
      <c r="A114" s="61"/>
      <c r="B114" s="272"/>
      <c r="C114" s="91"/>
      <c r="D114" s="418" t="s">
        <v>1032</v>
      </c>
      <c r="E114" s="419"/>
      <c r="F114" s="94">
        <v>1</v>
      </c>
      <c r="G114" s="136">
        <f>IF(ISNUMBER(VLOOKUP(LEFT(D114,3),'Material editor'!$D$11:$H$110,'Material editor'!$E$8,0)),VLOOKUP(LEFT(D114,3),'Material editor'!$D$11:$H$110,'Material editor'!$E$8,0),"")</f>
        <v>4.4999999999999998E-2</v>
      </c>
      <c r="H114" s="137">
        <f>IF(ISNUMBER(VLOOKUP(LEFT(D114,3),'Material editor'!$D$11:$H$110,'Material editor'!$F$8,0)),VLOOKUP(LEFT(D114,3),'Material editor'!$D$11:$H$110,'Material editor'!$F$8,0),"")</f>
        <v>679.51079196710771</v>
      </c>
      <c r="I114" s="137">
        <f>IF(ISNUMBER(VLOOKUP(LEFT(D114,3),'Material editor'!$D$11:$H$110,'Material editor'!$G$8,0)),VLOOKUP(LEFT(D114,3),'Material editor'!$D$11:$H$110,'Material editor'!$G$8,0),"")</f>
        <v>207.98677030368501</v>
      </c>
      <c r="J114" s="137">
        <f>IF(ISNUMBER(VLOOKUP(LEFT(D114,3),'Material editor'!$D$11:$H$110,'Material editor'!$H$8,0)),VLOOKUP(LEFT(D114,3),'Material editor'!$D$11:$H$110,'Material editor'!$H$8,0),"")</f>
        <v>80</v>
      </c>
      <c r="K114" s="418"/>
      <c r="L114" s="407"/>
      <c r="M114" s="94"/>
      <c r="N114" s="136" t="str">
        <f>IF(ISNUMBER(VLOOKUP(LEFT(K114,3),'Material editor'!$D$11:$H$110,'Material editor'!$E$8,0)),VLOOKUP(LEFT(K114,3),'Material editor'!$D$11:$H$110,'Material editor'!$E$8,0),"")</f>
        <v/>
      </c>
      <c r="O114" s="137" t="str">
        <f>IF(ISNUMBER(VLOOKUP(LEFT(K114,3),'Material editor'!$D$11:$H$110,'Material editor'!$F$8,0)),VLOOKUP(LEFT(K114,3),'Material editor'!$D$11:$H$110,'Material editor'!$F$8,0),"")</f>
        <v/>
      </c>
      <c r="P114" s="137" t="str">
        <f>IF(ISNUMBER(VLOOKUP(LEFT(K114,3),'Material editor'!$D$11:$H$110,'Material editor'!$G$8,0)),VLOOKUP(LEFT(K114,3),'Material editor'!$D$11:$H$110,'Material editor'!$G$8,0),"")</f>
        <v/>
      </c>
      <c r="Q114" s="137" t="str">
        <f>IF(ISNUMBER(VLOOKUP(LEFT(K114,3),'Material editor'!$D$11:$H$110,'Material editor'!$H$8,0)),VLOOKUP(LEFT(K114,3),'Material editor'!$D$11:$H$110,'Material editor'!$H$8,0),"")</f>
        <v/>
      </c>
      <c r="R114" s="418"/>
      <c r="S114" s="407"/>
      <c r="T114" s="94"/>
      <c r="U114" s="136" t="str">
        <f>IF(ISNUMBER(VLOOKUP(LEFT(R114,3),'Material editor'!$D$11:$H$110,'Material editor'!$E$8,0)),VLOOKUP(LEFT(R114,3),'Material editor'!$D$11:$H$110,'Material editor'!$E$8,0),"")</f>
        <v/>
      </c>
      <c r="V114" s="137" t="str">
        <f>IF(ISNUMBER(VLOOKUP(LEFT(R114,3),'Material editor'!$D$11:$H$110,'Material editor'!$F$8,0)),VLOOKUP(LEFT(R114,3),'Material editor'!$D$11:$H$110,'Material editor'!$F$8,0),"")</f>
        <v/>
      </c>
      <c r="W114" s="137" t="str">
        <f>IF(ISNUMBER(VLOOKUP(LEFT(R114,3),'Material editor'!$D$11:$H$110,'Material editor'!$G$8,0)),VLOOKUP(LEFT(R114,3),'Material editor'!$D$11:$H$110,'Material editor'!$G$8,0),"")</f>
        <v/>
      </c>
      <c r="X114" s="137" t="str">
        <f>IF(ISNUMBER(VLOOKUP(LEFT(R114,3),'Material editor'!$D$11:$H$110,'Material editor'!$H$8,0)),VLOOKUP(LEFT(R114,3),'Material editor'!$D$11:$H$110,'Material editor'!$H$8,0),"")</f>
        <v/>
      </c>
      <c r="Y114" s="74"/>
      <c r="Z114" s="94">
        <v>25</v>
      </c>
      <c r="AA114" s="8"/>
      <c r="AB114" s="61"/>
      <c r="AC114" s="65"/>
      <c r="AD114" s="65"/>
      <c r="AE114" s="95">
        <f t="shared" si="80"/>
        <v>0.55555555555555558</v>
      </c>
      <c r="AF114" s="95">
        <f t="shared" si="81"/>
        <v>0.55555555555555558</v>
      </c>
      <c r="AG114" s="95">
        <f t="shared" si="82"/>
        <v>0.55555555555555558</v>
      </c>
      <c r="AH114" s="65"/>
      <c r="AI114" s="95">
        <f t="shared" si="83"/>
        <v>4.4999999999999998E-2</v>
      </c>
      <c r="AJ114" s="95">
        <f t="shared" si="84"/>
        <v>4.4999999999999998E-2</v>
      </c>
      <c r="AK114" s="95">
        <f t="shared" si="85"/>
        <v>4.4999999999999998E-2</v>
      </c>
      <c r="AL114" s="65"/>
      <c r="AM114" s="96">
        <f t="shared" ref="AM114:AO114" si="90">AM113</f>
        <v>1</v>
      </c>
      <c r="AN114" s="96">
        <f t="shared" si="90"/>
        <v>0</v>
      </c>
      <c r="AO114" s="96">
        <f t="shared" si="90"/>
        <v>0</v>
      </c>
      <c r="AP114" s="65">
        <f t="shared" si="86"/>
        <v>0.55555555555555558</v>
      </c>
      <c r="AQ114" s="65"/>
      <c r="AR114" s="65"/>
      <c r="AS114" s="65"/>
      <c r="AT114" s="95">
        <f>IF(ISNUMBER(H114),H114*F114*Z114/1000*Balance!$H$13/J114,0)</f>
        <v>4.2469424497944228</v>
      </c>
      <c r="AU114" s="95">
        <f>IF(ISTEXT(K114),IF(ISNUMBER(O114),O114*M114*Z114/1000*Balance!$H$13/Q114,0),AT114)</f>
        <v>4.2469424497944228</v>
      </c>
      <c r="AV114" s="95">
        <f>IF(ISTEXT(R114),IF(ISNUMBER(V114),V114*T114*Z114/1000*Balance!$H$13/X114,0),AT114)</f>
        <v>4.2469424497944228</v>
      </c>
      <c r="AW114" s="65"/>
      <c r="AX114" s="95">
        <f>AT114*AX110</f>
        <v>4.2469424497944228</v>
      </c>
      <c r="AY114" s="95">
        <f>AU114*AY110</f>
        <v>0</v>
      </c>
      <c r="AZ114" s="95">
        <f>AV114*AZ110</f>
        <v>0</v>
      </c>
      <c r="BA114" s="95">
        <f t="shared" si="88"/>
        <v>4.2469424497944228</v>
      </c>
      <c r="BB114" s="65"/>
      <c r="BC114" s="95">
        <f>IF(ISNUMBER(I114),I114*F114*Z114/1000*Balance!$H$13/J114,0)</f>
        <v>1.2999173143980314</v>
      </c>
      <c r="BD114" s="95">
        <f>IF(ISTEXT(K114),IF(ISNUMBER(P114),P114*M114*Z114/1000*Balance!$H$13/Q114,0),BC114)</f>
        <v>1.2999173143980314</v>
      </c>
      <c r="BE114" s="95">
        <f>IF(ISTEXT(R114),IF(ISNUMBER(W114),W114*T114*Z114/1000*Balance!$H$13/X114,0),BC114)</f>
        <v>1.2999173143980314</v>
      </c>
      <c r="BF114" s="65"/>
      <c r="BG114" s="95">
        <f>BC114*BG110</f>
        <v>1.2999173143980314</v>
      </c>
      <c r="BH114" s="95">
        <f>BD114*BH110</f>
        <v>0</v>
      </c>
      <c r="BI114" s="95">
        <f>BE114*BI110</f>
        <v>0</v>
      </c>
      <c r="BJ114" s="95">
        <f t="shared" si="89"/>
        <v>1.2999173143980314</v>
      </c>
      <c r="BK114" s="65"/>
      <c r="BL114" s="65"/>
      <c r="BM114" s="358"/>
    </row>
    <row r="115" spans="1:65" outlineLevel="1" x14ac:dyDescent="0.25">
      <c r="A115" s="61"/>
      <c r="B115" s="272"/>
      <c r="C115" s="91"/>
      <c r="D115" s="418"/>
      <c r="E115" s="419"/>
      <c r="F115" s="94"/>
      <c r="G115" s="136" t="str">
        <f>IF(ISNUMBER(VLOOKUP(LEFT(D115,3),'Material editor'!$D$11:$H$110,'Material editor'!$E$8,0)),VLOOKUP(LEFT(D115,3),'Material editor'!$D$11:$H$110,'Material editor'!$E$8,0),"")</f>
        <v/>
      </c>
      <c r="H115" s="137" t="str">
        <f>IF(ISNUMBER(VLOOKUP(LEFT(D115,3),'Material editor'!$D$11:$H$110,'Material editor'!$F$8,0)),VLOOKUP(LEFT(D115,3),'Material editor'!$D$11:$H$110,'Material editor'!$F$8,0),"")</f>
        <v/>
      </c>
      <c r="I115" s="137" t="str">
        <f>IF(ISNUMBER(VLOOKUP(LEFT(D115,3),'Material editor'!$D$11:$H$110,'Material editor'!$G$8,0)),VLOOKUP(LEFT(D115,3),'Material editor'!$D$11:$H$110,'Material editor'!$G$8,0),"")</f>
        <v/>
      </c>
      <c r="J115" s="137" t="str">
        <f>IF(ISNUMBER(VLOOKUP(LEFT(D115,3),'Material editor'!$D$11:$H$110,'Material editor'!$H$8,0)),VLOOKUP(LEFT(D115,3),'Material editor'!$D$11:$H$110,'Material editor'!$H$8,0),"")</f>
        <v/>
      </c>
      <c r="K115" s="418"/>
      <c r="L115" s="407"/>
      <c r="M115" s="94"/>
      <c r="N115" s="136" t="str">
        <f>IF(ISNUMBER(VLOOKUP(LEFT(K115,3),'Material editor'!$D$11:$H$110,'Material editor'!$E$8,0)),VLOOKUP(LEFT(K115,3),'Material editor'!$D$11:$H$110,'Material editor'!$E$8,0),"")</f>
        <v/>
      </c>
      <c r="O115" s="137" t="str">
        <f>IF(ISNUMBER(VLOOKUP(LEFT(K115,3),'Material editor'!$D$11:$H$110,'Material editor'!$F$8,0)),VLOOKUP(LEFT(K115,3),'Material editor'!$D$11:$H$110,'Material editor'!$F$8,0),"")</f>
        <v/>
      </c>
      <c r="P115" s="137" t="str">
        <f>IF(ISNUMBER(VLOOKUP(LEFT(K115,3),'Material editor'!$D$11:$H$110,'Material editor'!$G$8,0)),VLOOKUP(LEFT(K115,3),'Material editor'!$D$11:$H$110,'Material editor'!$G$8,0),"")</f>
        <v/>
      </c>
      <c r="Q115" s="137" t="str">
        <f>IF(ISNUMBER(VLOOKUP(LEFT(K115,3),'Material editor'!$D$11:$H$110,'Material editor'!$H$8,0)),VLOOKUP(LEFT(K115,3),'Material editor'!$D$11:$H$110,'Material editor'!$H$8,0),"")</f>
        <v/>
      </c>
      <c r="R115" s="418"/>
      <c r="S115" s="407"/>
      <c r="T115" s="94"/>
      <c r="U115" s="136" t="str">
        <f>IF(ISNUMBER(VLOOKUP(LEFT(R115,3),'Material editor'!$D$11:$H$110,'Material editor'!$E$8,0)),VLOOKUP(LEFT(R115,3),'Material editor'!$D$11:$H$110,'Material editor'!$E$8,0),"")</f>
        <v/>
      </c>
      <c r="V115" s="137" t="str">
        <f>IF(ISNUMBER(VLOOKUP(LEFT(R115,3),'Material editor'!$D$11:$H$110,'Material editor'!$F$8,0)),VLOOKUP(LEFT(R115,3),'Material editor'!$D$11:$H$110,'Material editor'!$F$8,0),"")</f>
        <v/>
      </c>
      <c r="W115" s="137" t="str">
        <f>IF(ISNUMBER(VLOOKUP(LEFT(R115,3),'Material editor'!$D$11:$H$110,'Material editor'!$G$8,0)),VLOOKUP(LEFT(R115,3),'Material editor'!$D$11:$H$110,'Material editor'!$G$8,0),"")</f>
        <v/>
      </c>
      <c r="X115" s="137" t="str">
        <f>IF(ISNUMBER(VLOOKUP(LEFT(R115,3),'Material editor'!$D$11:$H$110,'Material editor'!$H$8,0)),VLOOKUP(LEFT(R115,3),'Material editor'!$D$11:$H$110,'Material editor'!$H$8,0),"")</f>
        <v/>
      </c>
      <c r="Y115" s="74"/>
      <c r="Z115" s="94"/>
      <c r="AA115" s="8"/>
      <c r="AB115" s="61"/>
      <c r="AC115" s="65"/>
      <c r="AD115" s="65"/>
      <c r="AE115" s="95">
        <f t="shared" si="80"/>
        <v>0</v>
      </c>
      <c r="AF115" s="95">
        <f t="shared" si="81"/>
        <v>0</v>
      </c>
      <c r="AG115" s="95">
        <f t="shared" si="82"/>
        <v>0</v>
      </c>
      <c r="AH115" s="65"/>
      <c r="AI115" s="95">
        <f t="shared" si="83"/>
        <v>0</v>
      </c>
      <c r="AJ115" s="95">
        <f t="shared" si="84"/>
        <v>0</v>
      </c>
      <c r="AK115" s="95">
        <f t="shared" si="85"/>
        <v>0</v>
      </c>
      <c r="AL115" s="65"/>
      <c r="AM115" s="96">
        <f t="shared" ref="AM115:AO115" si="91">AM114</f>
        <v>1</v>
      </c>
      <c r="AN115" s="96">
        <f t="shared" si="91"/>
        <v>0</v>
      </c>
      <c r="AO115" s="96">
        <f t="shared" si="91"/>
        <v>0</v>
      </c>
      <c r="AP115" s="65">
        <f t="shared" si="86"/>
        <v>0</v>
      </c>
      <c r="AQ115" s="65"/>
      <c r="AR115" s="65"/>
      <c r="AS115" s="65"/>
      <c r="AT115" s="95">
        <f>IF(ISNUMBER(H115),H115*F115*Z115/1000*Balance!$H$13/J115,0)</f>
        <v>0</v>
      </c>
      <c r="AU115" s="95">
        <f>IF(ISTEXT(K115),IF(ISNUMBER(O115),O115*M115*Z115/1000*Balance!$H$13/Q115,0),AT115)</f>
        <v>0</v>
      </c>
      <c r="AV115" s="95">
        <f>IF(ISTEXT(R115),IF(ISNUMBER(V115),V115*T115*Z115/1000*Balance!$H$13/X115,0),AT115)</f>
        <v>0</v>
      </c>
      <c r="AW115" s="65"/>
      <c r="AX115" s="95">
        <f>AT115*AX110</f>
        <v>0</v>
      </c>
      <c r="AY115" s="95">
        <f>AU115*AY110</f>
        <v>0</v>
      </c>
      <c r="AZ115" s="95">
        <f>AV115*AZ110</f>
        <v>0</v>
      </c>
      <c r="BA115" s="95">
        <f t="shared" si="88"/>
        <v>0</v>
      </c>
      <c r="BB115" s="65"/>
      <c r="BC115" s="95">
        <f>IF(ISNUMBER(I115),I115*F115*Z115/1000*Balance!$H$13/J115,0)</f>
        <v>0</v>
      </c>
      <c r="BD115" s="95">
        <f>IF(ISTEXT(K115),IF(ISNUMBER(P115),P115*M115*Z115/1000*Balance!$H$13/Q115,0),BC115)</f>
        <v>0</v>
      </c>
      <c r="BE115" s="95">
        <f>IF(ISTEXT(R115),IF(ISNUMBER(W115),W115*T115*Z115/1000*Balance!$H$13/X115,0),BC115)</f>
        <v>0</v>
      </c>
      <c r="BF115" s="65"/>
      <c r="BG115" s="95">
        <f>BC115*BG110</f>
        <v>0</v>
      </c>
      <c r="BH115" s="95">
        <f>BD115*BH110</f>
        <v>0</v>
      </c>
      <c r="BI115" s="95">
        <f>BE115*BI110</f>
        <v>0</v>
      </c>
      <c r="BJ115" s="95">
        <f t="shared" si="89"/>
        <v>0</v>
      </c>
      <c r="BK115" s="65"/>
      <c r="BL115" s="65"/>
      <c r="BM115" s="358"/>
    </row>
    <row r="116" spans="1:65" outlineLevel="1" x14ac:dyDescent="0.25">
      <c r="A116" s="61"/>
      <c r="B116" s="272"/>
      <c r="C116" s="91"/>
      <c r="D116" s="418"/>
      <c r="E116" s="419"/>
      <c r="F116" s="94"/>
      <c r="G116" s="136" t="str">
        <f>IF(ISNUMBER(VLOOKUP(LEFT(D116,3),'Material editor'!$D$11:$H$110,'Material editor'!$E$8,0)),VLOOKUP(LEFT(D116,3),'Material editor'!$D$11:$H$110,'Material editor'!$E$8,0),"")</f>
        <v/>
      </c>
      <c r="H116" s="137" t="str">
        <f>IF(ISNUMBER(VLOOKUP(LEFT(D116,3),'Material editor'!$D$11:$H$110,'Material editor'!$F$8,0)),VLOOKUP(LEFT(D116,3),'Material editor'!$D$11:$H$110,'Material editor'!$F$8,0),"")</f>
        <v/>
      </c>
      <c r="I116" s="137" t="str">
        <f>IF(ISNUMBER(VLOOKUP(LEFT(D116,3),'Material editor'!$D$11:$H$110,'Material editor'!$G$8,0)),VLOOKUP(LEFT(D116,3),'Material editor'!$D$11:$H$110,'Material editor'!$G$8,0),"")</f>
        <v/>
      </c>
      <c r="J116" s="137" t="str">
        <f>IF(ISNUMBER(VLOOKUP(LEFT(D116,3),'Material editor'!$D$11:$H$110,'Material editor'!$H$8,0)),VLOOKUP(LEFT(D116,3),'Material editor'!$D$11:$H$110,'Material editor'!$H$8,0),"")</f>
        <v/>
      </c>
      <c r="K116" s="418"/>
      <c r="L116" s="407"/>
      <c r="M116" s="94"/>
      <c r="N116" s="136" t="str">
        <f>IF(ISNUMBER(VLOOKUP(LEFT(K116,3),'Material editor'!$D$11:$H$110,'Material editor'!$E$8,0)),VLOOKUP(LEFT(K116,3),'Material editor'!$D$11:$H$110,'Material editor'!$E$8,0),"")</f>
        <v/>
      </c>
      <c r="O116" s="137" t="str">
        <f>IF(ISNUMBER(VLOOKUP(LEFT(K116,3),'Material editor'!$D$11:$H$110,'Material editor'!$F$8,0)),VLOOKUP(LEFT(K116,3),'Material editor'!$D$11:$H$110,'Material editor'!$F$8,0),"")</f>
        <v/>
      </c>
      <c r="P116" s="137" t="str">
        <f>IF(ISNUMBER(VLOOKUP(LEFT(K116,3),'Material editor'!$D$11:$H$110,'Material editor'!$G$8,0)),VLOOKUP(LEFT(K116,3),'Material editor'!$D$11:$H$110,'Material editor'!$G$8,0),"")</f>
        <v/>
      </c>
      <c r="Q116" s="137" t="str">
        <f>IF(ISNUMBER(VLOOKUP(LEFT(K116,3),'Material editor'!$D$11:$H$110,'Material editor'!$H$8,0)),VLOOKUP(LEFT(K116,3),'Material editor'!$D$11:$H$110,'Material editor'!$H$8,0),"")</f>
        <v/>
      </c>
      <c r="R116" s="418"/>
      <c r="S116" s="407"/>
      <c r="T116" s="94"/>
      <c r="U116" s="136" t="str">
        <f>IF(ISNUMBER(VLOOKUP(LEFT(R116,3),'Material editor'!$D$11:$H$110,'Material editor'!$E$8,0)),VLOOKUP(LEFT(R116,3),'Material editor'!$D$11:$H$110,'Material editor'!$E$8,0),"")</f>
        <v/>
      </c>
      <c r="V116" s="137" t="str">
        <f>IF(ISNUMBER(VLOOKUP(LEFT(R116,3),'Material editor'!$D$11:$H$110,'Material editor'!$F$8,0)),VLOOKUP(LEFT(R116,3),'Material editor'!$D$11:$H$110,'Material editor'!$F$8,0),"")</f>
        <v/>
      </c>
      <c r="W116" s="137" t="str">
        <f>IF(ISNUMBER(VLOOKUP(LEFT(R116,3),'Material editor'!$D$11:$H$110,'Material editor'!$G$8,0)),VLOOKUP(LEFT(R116,3),'Material editor'!$D$11:$H$110,'Material editor'!$G$8,0),"")</f>
        <v/>
      </c>
      <c r="X116" s="137" t="str">
        <f>IF(ISNUMBER(VLOOKUP(LEFT(R116,3),'Material editor'!$D$11:$H$110,'Material editor'!$H$8,0)),VLOOKUP(LEFT(R116,3),'Material editor'!$D$11:$H$110,'Material editor'!$H$8,0),"")</f>
        <v/>
      </c>
      <c r="Y116" s="74"/>
      <c r="Z116" s="94"/>
      <c r="AA116" s="8"/>
      <c r="AB116" s="61"/>
      <c r="AC116" s="65"/>
      <c r="AD116" s="65"/>
      <c r="AE116" s="95">
        <f t="shared" si="80"/>
        <v>0</v>
      </c>
      <c r="AF116" s="95">
        <f t="shared" si="81"/>
        <v>0</v>
      </c>
      <c r="AG116" s="95">
        <f t="shared" si="82"/>
        <v>0</v>
      </c>
      <c r="AH116" s="65"/>
      <c r="AI116" s="95">
        <f t="shared" si="83"/>
        <v>0</v>
      </c>
      <c r="AJ116" s="95">
        <f t="shared" si="84"/>
        <v>0</v>
      </c>
      <c r="AK116" s="95">
        <f t="shared" si="85"/>
        <v>0</v>
      </c>
      <c r="AL116" s="65"/>
      <c r="AM116" s="96">
        <f t="shared" ref="AM116:AO116" si="92">AM115</f>
        <v>1</v>
      </c>
      <c r="AN116" s="96">
        <f t="shared" si="92"/>
        <v>0</v>
      </c>
      <c r="AO116" s="96">
        <f t="shared" si="92"/>
        <v>0</v>
      </c>
      <c r="AP116" s="65">
        <f t="shared" si="86"/>
        <v>0</v>
      </c>
      <c r="AQ116" s="65"/>
      <c r="AR116" s="65"/>
      <c r="AS116" s="65"/>
      <c r="AT116" s="95">
        <f>IF(ISNUMBER(H116),H116*F116*Z116/1000*Balance!$H$13/J116,0)</f>
        <v>0</v>
      </c>
      <c r="AU116" s="95">
        <f>IF(ISTEXT(K116),IF(ISNUMBER(O116),O116*M116*Z116/1000*Balance!$H$13/Q116,0),AT116)</f>
        <v>0</v>
      </c>
      <c r="AV116" s="95">
        <f>IF(ISTEXT(R116),IF(ISNUMBER(V116),V116*T116*Z116/1000*Balance!$H$13/X116,0),AT116)</f>
        <v>0</v>
      </c>
      <c r="AW116" s="65"/>
      <c r="AX116" s="95">
        <f>AT116*AX110</f>
        <v>0</v>
      </c>
      <c r="AY116" s="95">
        <f>AU116*AY110</f>
        <v>0</v>
      </c>
      <c r="AZ116" s="95">
        <f>AV116*AZ110</f>
        <v>0</v>
      </c>
      <c r="BA116" s="95">
        <f t="shared" si="88"/>
        <v>0</v>
      </c>
      <c r="BB116" s="65"/>
      <c r="BC116" s="95">
        <f>IF(ISNUMBER(I116),I116*F116*Z116/1000*Balance!$H$13/J116,0)</f>
        <v>0</v>
      </c>
      <c r="BD116" s="95">
        <f>IF(ISTEXT(K116),IF(ISNUMBER(P116),P116*M116*Z116/1000*Balance!$H$13/Q116,0),BC116)</f>
        <v>0</v>
      </c>
      <c r="BE116" s="95">
        <f>IF(ISTEXT(R116),IF(ISNUMBER(W116),W116*T116*Z116/1000*Balance!$H$13/X116,0),BC116)</f>
        <v>0</v>
      </c>
      <c r="BF116" s="65"/>
      <c r="BG116" s="95">
        <f>BC116*BG110</f>
        <v>0</v>
      </c>
      <c r="BH116" s="95">
        <f>BD116*BH110</f>
        <v>0</v>
      </c>
      <c r="BI116" s="95">
        <f>BE116*BI110</f>
        <v>0</v>
      </c>
      <c r="BJ116" s="95">
        <f t="shared" si="89"/>
        <v>0</v>
      </c>
      <c r="BK116" s="65"/>
      <c r="BL116" s="65"/>
      <c r="BM116" s="358"/>
    </row>
    <row r="117" spans="1:65" outlineLevel="1" x14ac:dyDescent="0.25">
      <c r="A117" s="61"/>
      <c r="B117" s="272"/>
      <c r="C117" s="91"/>
      <c r="D117" s="418"/>
      <c r="E117" s="419"/>
      <c r="F117" s="94"/>
      <c r="G117" s="136" t="str">
        <f>IF(ISNUMBER(VLOOKUP(LEFT(D117,3),'Material editor'!$D$11:$H$110,'Material editor'!$E$8,0)),VLOOKUP(LEFT(D117,3),'Material editor'!$D$11:$H$110,'Material editor'!$E$8,0),"")</f>
        <v/>
      </c>
      <c r="H117" s="137" t="str">
        <f>IF(ISNUMBER(VLOOKUP(LEFT(D117,3),'Material editor'!$D$11:$H$110,'Material editor'!$F$8,0)),VLOOKUP(LEFT(D117,3),'Material editor'!$D$11:$H$110,'Material editor'!$F$8,0),"")</f>
        <v/>
      </c>
      <c r="I117" s="137" t="str">
        <f>IF(ISNUMBER(VLOOKUP(LEFT(D117,3),'Material editor'!$D$11:$H$110,'Material editor'!$G$8,0)),VLOOKUP(LEFT(D117,3),'Material editor'!$D$11:$H$110,'Material editor'!$G$8,0),"")</f>
        <v/>
      </c>
      <c r="J117" s="137" t="str">
        <f>IF(ISNUMBER(VLOOKUP(LEFT(D117,3),'Material editor'!$D$11:$H$110,'Material editor'!$H$8,0)),VLOOKUP(LEFT(D117,3),'Material editor'!$D$11:$H$110,'Material editor'!$H$8,0),"")</f>
        <v/>
      </c>
      <c r="K117" s="418"/>
      <c r="L117" s="407"/>
      <c r="M117" s="94"/>
      <c r="N117" s="136" t="str">
        <f>IF(ISNUMBER(VLOOKUP(LEFT(K117,3),'Material editor'!$D$11:$H$110,'Material editor'!$E$8,0)),VLOOKUP(LEFT(K117,3),'Material editor'!$D$11:$H$110,'Material editor'!$E$8,0),"")</f>
        <v/>
      </c>
      <c r="O117" s="137" t="str">
        <f>IF(ISNUMBER(VLOOKUP(LEFT(K117,3),'Material editor'!$D$11:$H$110,'Material editor'!$F$8,0)),VLOOKUP(LEFT(K117,3),'Material editor'!$D$11:$H$110,'Material editor'!$F$8,0),"")</f>
        <v/>
      </c>
      <c r="P117" s="137" t="str">
        <f>IF(ISNUMBER(VLOOKUP(LEFT(K117,3),'Material editor'!$D$11:$H$110,'Material editor'!$G$8,0)),VLOOKUP(LEFT(K117,3),'Material editor'!$D$11:$H$110,'Material editor'!$G$8,0),"")</f>
        <v/>
      </c>
      <c r="Q117" s="137" t="str">
        <f>IF(ISNUMBER(VLOOKUP(LEFT(K117,3),'Material editor'!$D$11:$H$110,'Material editor'!$H$8,0)),VLOOKUP(LEFT(K117,3),'Material editor'!$D$11:$H$110,'Material editor'!$H$8,0),"")</f>
        <v/>
      </c>
      <c r="R117" s="418"/>
      <c r="S117" s="407"/>
      <c r="T117" s="94"/>
      <c r="U117" s="136" t="str">
        <f>IF(ISNUMBER(VLOOKUP(LEFT(R117,3),'Material editor'!$D$11:$H$110,'Material editor'!$E$8,0)),VLOOKUP(LEFT(R117,3),'Material editor'!$D$11:$H$110,'Material editor'!$E$8,0),"")</f>
        <v/>
      </c>
      <c r="V117" s="137" t="str">
        <f>IF(ISNUMBER(VLOOKUP(LEFT(R117,3),'Material editor'!$D$11:$H$110,'Material editor'!$F$8,0)),VLOOKUP(LEFT(R117,3),'Material editor'!$D$11:$H$110,'Material editor'!$F$8,0),"")</f>
        <v/>
      </c>
      <c r="W117" s="137" t="str">
        <f>IF(ISNUMBER(VLOOKUP(LEFT(R117,3),'Material editor'!$D$11:$H$110,'Material editor'!$G$8,0)),VLOOKUP(LEFT(R117,3),'Material editor'!$D$11:$H$110,'Material editor'!$G$8,0),"")</f>
        <v/>
      </c>
      <c r="X117" s="137" t="str">
        <f>IF(ISNUMBER(VLOOKUP(LEFT(R117,3),'Material editor'!$D$11:$H$110,'Material editor'!$H$8,0)),VLOOKUP(LEFT(R117,3),'Material editor'!$D$11:$H$110,'Material editor'!$H$8,0),"")</f>
        <v/>
      </c>
      <c r="Y117" s="74"/>
      <c r="Z117" s="94"/>
      <c r="AA117" s="8"/>
      <c r="AB117" s="61"/>
      <c r="AC117" s="65"/>
      <c r="AD117" s="65"/>
      <c r="AE117" s="95">
        <f t="shared" si="80"/>
        <v>0</v>
      </c>
      <c r="AF117" s="95">
        <f t="shared" si="81"/>
        <v>0</v>
      </c>
      <c r="AG117" s="95">
        <f t="shared" si="82"/>
        <v>0</v>
      </c>
      <c r="AH117" s="65"/>
      <c r="AI117" s="95">
        <f t="shared" si="83"/>
        <v>0</v>
      </c>
      <c r="AJ117" s="95">
        <f t="shared" si="84"/>
        <v>0</v>
      </c>
      <c r="AK117" s="95">
        <f t="shared" si="85"/>
        <v>0</v>
      </c>
      <c r="AL117" s="65"/>
      <c r="AM117" s="96">
        <f t="shared" ref="AM117:AO117" si="93">AM116</f>
        <v>1</v>
      </c>
      <c r="AN117" s="96">
        <f t="shared" si="93"/>
        <v>0</v>
      </c>
      <c r="AO117" s="96">
        <f t="shared" si="93"/>
        <v>0</v>
      </c>
      <c r="AP117" s="65">
        <f t="shared" si="86"/>
        <v>0</v>
      </c>
      <c r="AQ117" s="65"/>
      <c r="AR117" s="65"/>
      <c r="AS117" s="66"/>
      <c r="AT117" s="95">
        <f>IF(ISNUMBER(H117),H117*F117*Z117/1000*Balance!$H$13/J117,0)</f>
        <v>0</v>
      </c>
      <c r="AU117" s="95">
        <f>IF(ISTEXT(K117),IF(ISNUMBER(O117),O117*M117*Z117/1000*Balance!$H$13/Q117,0),AT117)</f>
        <v>0</v>
      </c>
      <c r="AV117" s="95">
        <f>IF(ISTEXT(R117),IF(ISNUMBER(V117),V117*T117*Z117/1000*Balance!$H$13/X117,0),AT117)</f>
        <v>0</v>
      </c>
      <c r="AW117" s="66"/>
      <c r="AX117" s="95">
        <f>AT117*AX110</f>
        <v>0</v>
      </c>
      <c r="AY117" s="95">
        <f>AU117*AY110</f>
        <v>0</v>
      </c>
      <c r="AZ117" s="95">
        <f>AV117*AZ110</f>
        <v>0</v>
      </c>
      <c r="BA117" s="95">
        <f t="shared" si="88"/>
        <v>0</v>
      </c>
      <c r="BB117" s="66"/>
      <c r="BC117" s="95">
        <f>IF(ISNUMBER(I117),I117*F117*Z117/1000*Balance!$H$13/J117,0)</f>
        <v>0</v>
      </c>
      <c r="BD117" s="95">
        <f>IF(ISTEXT(K117),IF(ISNUMBER(P117),P117*M117*Z117/1000*Balance!$H$13/Q117,0),BC117)</f>
        <v>0</v>
      </c>
      <c r="BE117" s="95">
        <f>IF(ISTEXT(R117),IF(ISNUMBER(W117),W117*T117*Z117/1000*Balance!$H$13/X117,0),BC117)</f>
        <v>0</v>
      </c>
      <c r="BF117" s="66"/>
      <c r="BG117" s="95">
        <f>BC117*BG110</f>
        <v>0</v>
      </c>
      <c r="BH117" s="95">
        <f>BD117*BH110</f>
        <v>0</v>
      </c>
      <c r="BI117" s="95">
        <f>BE117*BI110</f>
        <v>0</v>
      </c>
      <c r="BJ117" s="95">
        <f t="shared" si="89"/>
        <v>0</v>
      </c>
      <c r="BK117" s="66"/>
      <c r="BL117" s="66"/>
      <c r="BM117" s="358"/>
    </row>
    <row r="118" spans="1:65" outlineLevel="1" x14ac:dyDescent="0.25">
      <c r="A118" s="61"/>
      <c r="B118" s="272"/>
      <c r="C118" s="91"/>
      <c r="D118" s="418"/>
      <c r="E118" s="419"/>
      <c r="F118" s="94"/>
      <c r="G118" s="136" t="str">
        <f>IF(ISNUMBER(VLOOKUP(LEFT(D118,3),'Material editor'!$D$11:$H$110,'Material editor'!$E$8,0)),VLOOKUP(LEFT(D118,3),'Material editor'!$D$11:$H$110,'Material editor'!$E$8,0),"")</f>
        <v/>
      </c>
      <c r="H118" s="137" t="str">
        <f>IF(ISNUMBER(VLOOKUP(LEFT(D118,3),'Material editor'!$D$11:$H$110,'Material editor'!$F$8,0)),VLOOKUP(LEFT(D118,3),'Material editor'!$D$11:$H$110,'Material editor'!$F$8,0),"")</f>
        <v/>
      </c>
      <c r="I118" s="137" t="str">
        <f>IF(ISNUMBER(VLOOKUP(LEFT(D118,3),'Material editor'!$D$11:$H$110,'Material editor'!$G$8,0)),VLOOKUP(LEFT(D118,3),'Material editor'!$D$11:$H$110,'Material editor'!$G$8,0),"")</f>
        <v/>
      </c>
      <c r="J118" s="137" t="str">
        <f>IF(ISNUMBER(VLOOKUP(LEFT(D118,3),'Material editor'!$D$11:$H$110,'Material editor'!$H$8,0)),VLOOKUP(LEFT(D118,3),'Material editor'!$D$11:$H$110,'Material editor'!$H$8,0),"")</f>
        <v/>
      </c>
      <c r="K118" s="418"/>
      <c r="L118" s="407"/>
      <c r="M118" s="94"/>
      <c r="N118" s="136" t="str">
        <f>IF(ISNUMBER(VLOOKUP(LEFT(K118,3),'Material editor'!$D$11:$H$110,'Material editor'!$E$8,0)),VLOOKUP(LEFT(K118,3),'Material editor'!$D$11:$H$110,'Material editor'!$E$8,0),"")</f>
        <v/>
      </c>
      <c r="O118" s="137" t="str">
        <f>IF(ISNUMBER(VLOOKUP(LEFT(K118,3),'Material editor'!$D$11:$H$110,'Material editor'!$F$8,0)),VLOOKUP(LEFT(K118,3),'Material editor'!$D$11:$H$110,'Material editor'!$F$8,0),"")</f>
        <v/>
      </c>
      <c r="P118" s="137" t="str">
        <f>IF(ISNUMBER(VLOOKUP(LEFT(K118,3),'Material editor'!$D$11:$H$110,'Material editor'!$G$8,0)),VLOOKUP(LEFT(K118,3),'Material editor'!$D$11:$H$110,'Material editor'!$G$8,0),"")</f>
        <v/>
      </c>
      <c r="Q118" s="137" t="str">
        <f>IF(ISNUMBER(VLOOKUP(LEFT(K118,3),'Material editor'!$D$11:$H$110,'Material editor'!$H$8,0)),VLOOKUP(LEFT(K118,3),'Material editor'!$D$11:$H$110,'Material editor'!$H$8,0),"")</f>
        <v/>
      </c>
      <c r="R118" s="418"/>
      <c r="S118" s="407"/>
      <c r="T118" s="94"/>
      <c r="U118" s="136" t="str">
        <f>IF(ISNUMBER(VLOOKUP(LEFT(R118,3),'Material editor'!$D$11:$H$110,'Material editor'!$E$8,0)),VLOOKUP(LEFT(R118,3),'Material editor'!$D$11:$H$110,'Material editor'!$E$8,0),"")</f>
        <v/>
      </c>
      <c r="V118" s="137" t="str">
        <f>IF(ISNUMBER(VLOOKUP(LEFT(R118,3),'Material editor'!$D$11:$H$110,'Material editor'!$F$8,0)),VLOOKUP(LEFT(R118,3),'Material editor'!$D$11:$H$110,'Material editor'!$F$8,0),"")</f>
        <v/>
      </c>
      <c r="W118" s="137" t="str">
        <f>IF(ISNUMBER(VLOOKUP(LEFT(R118,3),'Material editor'!$D$11:$H$110,'Material editor'!$G$8,0)),VLOOKUP(LEFT(R118,3),'Material editor'!$D$11:$H$110,'Material editor'!$G$8,0),"")</f>
        <v/>
      </c>
      <c r="X118" s="137" t="str">
        <f>IF(ISNUMBER(VLOOKUP(LEFT(R118,3),'Material editor'!$D$11:$H$110,'Material editor'!$H$8,0)),VLOOKUP(LEFT(R118,3),'Material editor'!$D$11:$H$110,'Material editor'!$H$8,0),"")</f>
        <v/>
      </c>
      <c r="Y118" s="74"/>
      <c r="Z118" s="94"/>
      <c r="AA118" s="8"/>
      <c r="AB118" s="61"/>
      <c r="AC118" s="65"/>
      <c r="AD118" s="65"/>
      <c r="AE118" s="95">
        <f t="shared" si="80"/>
        <v>0</v>
      </c>
      <c r="AF118" s="95">
        <f t="shared" si="81"/>
        <v>0</v>
      </c>
      <c r="AG118" s="95">
        <f t="shared" si="82"/>
        <v>0</v>
      </c>
      <c r="AH118" s="65"/>
      <c r="AI118" s="95">
        <f t="shared" si="83"/>
        <v>0</v>
      </c>
      <c r="AJ118" s="95">
        <f t="shared" si="84"/>
        <v>0</v>
      </c>
      <c r="AK118" s="95">
        <f t="shared" si="85"/>
        <v>0</v>
      </c>
      <c r="AL118" s="65"/>
      <c r="AM118" s="96">
        <f t="shared" ref="AM118:AO118" si="94">AM117</f>
        <v>1</v>
      </c>
      <c r="AN118" s="96">
        <f t="shared" si="94"/>
        <v>0</v>
      </c>
      <c r="AO118" s="96">
        <f t="shared" si="94"/>
        <v>0</v>
      </c>
      <c r="AP118" s="65">
        <f t="shared" si="86"/>
        <v>0</v>
      </c>
      <c r="AQ118" s="65"/>
      <c r="AR118" s="65"/>
      <c r="AS118" s="66"/>
      <c r="AT118" s="95">
        <f>IF(ISNUMBER(H118),H118*F118*Z118/1000*Balance!$H$13/J118,0)</f>
        <v>0</v>
      </c>
      <c r="AU118" s="95">
        <f>IF(ISTEXT(K118),IF(ISNUMBER(O118),O118*M118*Z118/1000*Balance!$H$13/Q118,0),AT118)</f>
        <v>0</v>
      </c>
      <c r="AV118" s="95">
        <f>IF(ISTEXT(R118),IF(ISNUMBER(V118),V118*T118*Z118/1000*Balance!$H$13/X118,0),AT118)</f>
        <v>0</v>
      </c>
      <c r="AW118" s="66"/>
      <c r="AX118" s="95">
        <f>AT118*AX110</f>
        <v>0</v>
      </c>
      <c r="AY118" s="95">
        <f>AU118*AY110</f>
        <v>0</v>
      </c>
      <c r="AZ118" s="95">
        <f>AV118*AZ110</f>
        <v>0</v>
      </c>
      <c r="BA118" s="95">
        <f t="shared" si="88"/>
        <v>0</v>
      </c>
      <c r="BB118" s="66"/>
      <c r="BC118" s="95">
        <f>IF(ISNUMBER(I118),I118*F118*Z118/1000*Balance!$H$13/J118,0)</f>
        <v>0</v>
      </c>
      <c r="BD118" s="95">
        <f>IF(ISTEXT(K118),IF(ISNUMBER(P118),P118*M118*Z118/1000*Balance!$H$13/Q118,0),BC118)</f>
        <v>0</v>
      </c>
      <c r="BE118" s="95">
        <f>IF(ISTEXT(R118),IF(ISNUMBER(W118),W118*T118*Z118/1000*Balance!$H$13/X118,0),BC118)</f>
        <v>0</v>
      </c>
      <c r="BF118" s="66"/>
      <c r="BG118" s="95">
        <f>BC118*BG110</f>
        <v>0</v>
      </c>
      <c r="BH118" s="95">
        <f>BD118*BH110</f>
        <v>0</v>
      </c>
      <c r="BI118" s="95">
        <f>BE118*BI110</f>
        <v>0</v>
      </c>
      <c r="BJ118" s="95">
        <f t="shared" si="89"/>
        <v>0</v>
      </c>
      <c r="BK118" s="66"/>
      <c r="BL118" s="66"/>
      <c r="BM118" s="358"/>
    </row>
    <row r="119" spans="1:65" outlineLevel="1" x14ac:dyDescent="0.25">
      <c r="A119" s="61"/>
      <c r="B119" s="272"/>
      <c r="C119" s="91"/>
      <c r="D119" s="420"/>
      <c r="E119" s="421"/>
      <c r="F119" s="94"/>
      <c r="G119" s="136" t="str">
        <f>IF(ISNUMBER(VLOOKUP(LEFT(D119,3),'Material editor'!$D$11:$H$110,'Material editor'!$E$8,0)),VLOOKUP(LEFT(D119,3),'Material editor'!$D$11:$H$110,'Material editor'!$E$8,0),"")</f>
        <v/>
      </c>
      <c r="H119" s="137" t="str">
        <f>IF(ISNUMBER(VLOOKUP(LEFT(D119,3),'Material editor'!$D$11:$H$110,'Material editor'!$F$8,0)),VLOOKUP(LEFT(D119,3),'Material editor'!$D$11:$H$110,'Material editor'!$F$8,0),"")</f>
        <v/>
      </c>
      <c r="I119" s="137" t="str">
        <f>IF(ISNUMBER(VLOOKUP(LEFT(D119,3),'Material editor'!$D$11:$H$110,'Material editor'!$G$8,0)),VLOOKUP(LEFT(D119,3),'Material editor'!$D$11:$H$110,'Material editor'!$G$8,0),"")</f>
        <v/>
      </c>
      <c r="J119" s="137" t="str">
        <f>IF(ISNUMBER(VLOOKUP(LEFT(D119,3),'Material editor'!$D$11:$H$110,'Material editor'!$H$8,0)),VLOOKUP(LEFT(D119,3),'Material editor'!$D$11:$H$110,'Material editor'!$H$8,0),"")</f>
        <v/>
      </c>
      <c r="K119" s="418"/>
      <c r="L119" s="407"/>
      <c r="M119" s="94"/>
      <c r="N119" s="136" t="str">
        <f>IF(ISNUMBER(VLOOKUP(LEFT(K119,3),'Material editor'!$D$11:$H$110,'Material editor'!$E$8,0)),VLOOKUP(LEFT(K119,3),'Material editor'!$D$11:$H$110,'Material editor'!$E$8,0),"")</f>
        <v/>
      </c>
      <c r="O119" s="137" t="str">
        <f>IF(ISNUMBER(VLOOKUP(LEFT(K119,3),'Material editor'!$D$11:$H$110,'Material editor'!$F$8,0)),VLOOKUP(LEFT(K119,3),'Material editor'!$D$11:$H$110,'Material editor'!$F$8,0),"")</f>
        <v/>
      </c>
      <c r="P119" s="137" t="str">
        <f>IF(ISNUMBER(VLOOKUP(LEFT(K119,3),'Material editor'!$D$11:$H$110,'Material editor'!$G$8,0)),VLOOKUP(LEFT(K119,3),'Material editor'!$D$11:$H$110,'Material editor'!$G$8,0),"")</f>
        <v/>
      </c>
      <c r="Q119" s="137" t="str">
        <f>IF(ISNUMBER(VLOOKUP(LEFT(K119,3),'Material editor'!$D$11:$H$110,'Material editor'!$H$8,0)),VLOOKUP(LEFT(K119,3),'Material editor'!$D$11:$H$110,'Material editor'!$H$8,0),"")</f>
        <v/>
      </c>
      <c r="R119" s="418"/>
      <c r="S119" s="407"/>
      <c r="T119" s="94"/>
      <c r="U119" s="136" t="str">
        <f>IF(ISNUMBER(VLOOKUP(LEFT(R119,3),'Material editor'!$D$11:$H$110,'Material editor'!$E$8,0)),VLOOKUP(LEFT(R119,3),'Material editor'!$D$11:$H$110,'Material editor'!$E$8,0),"")</f>
        <v/>
      </c>
      <c r="V119" s="137" t="str">
        <f>IF(ISNUMBER(VLOOKUP(LEFT(R119,3),'Material editor'!$D$11:$H$110,'Material editor'!$F$8,0)),VLOOKUP(LEFT(R119,3),'Material editor'!$D$11:$H$110,'Material editor'!$F$8,0),"")</f>
        <v/>
      </c>
      <c r="W119" s="137" t="str">
        <f>IF(ISNUMBER(VLOOKUP(LEFT(R119,3),'Material editor'!$D$11:$H$110,'Material editor'!$G$8,0)),VLOOKUP(LEFT(R119,3),'Material editor'!$D$11:$H$110,'Material editor'!$G$8,0),"")</f>
        <v/>
      </c>
      <c r="X119" s="137" t="str">
        <f>IF(ISNUMBER(VLOOKUP(LEFT(R119,3),'Material editor'!$D$11:$H$110,'Material editor'!$H$8,0)),VLOOKUP(LEFT(R119,3),'Material editor'!$D$11:$H$110,'Material editor'!$H$8,0),"")</f>
        <v/>
      </c>
      <c r="Y119" s="74"/>
      <c r="Z119" s="94"/>
      <c r="AA119" s="8"/>
      <c r="AB119" s="61"/>
      <c r="AC119" s="65"/>
      <c r="AD119" s="65"/>
      <c r="AE119" s="95">
        <f t="shared" si="80"/>
        <v>0</v>
      </c>
      <c r="AF119" s="95">
        <f t="shared" si="81"/>
        <v>0</v>
      </c>
      <c r="AG119" s="95">
        <f t="shared" si="82"/>
        <v>0</v>
      </c>
      <c r="AH119" s="65"/>
      <c r="AI119" s="95">
        <f>IF(ISNUMBER(G119),G119,0)</f>
        <v>0</v>
      </c>
      <c r="AJ119" s="95">
        <f t="shared" si="84"/>
        <v>0</v>
      </c>
      <c r="AK119" s="95">
        <f t="shared" si="85"/>
        <v>0</v>
      </c>
      <c r="AL119" s="65"/>
      <c r="AM119" s="96">
        <f t="shared" ref="AM119:AO119" si="95">AM118</f>
        <v>1</v>
      </c>
      <c r="AN119" s="96">
        <f t="shared" si="95"/>
        <v>0</v>
      </c>
      <c r="AO119" s="96">
        <f t="shared" si="95"/>
        <v>0</v>
      </c>
      <c r="AP119" s="65">
        <f t="shared" si="86"/>
        <v>0</v>
      </c>
      <c r="AQ119" s="65"/>
      <c r="AR119" s="65"/>
      <c r="AS119" s="66"/>
      <c r="AT119" s="95">
        <f>IF(ISNUMBER(H119),H119*F119*Z119/1000*Balance!$H$13/J119,0)</f>
        <v>0</v>
      </c>
      <c r="AU119" s="95">
        <f>IF(ISTEXT(K119),IF(ISNUMBER(O119),O119*M119*Z119/1000*Balance!$H$13/Q119,0),AT119)</f>
        <v>0</v>
      </c>
      <c r="AV119" s="95">
        <f>IF(ISTEXT(R119),IF(ISNUMBER(V119),V119*T119*Z119/1000*Balance!$H$13/X119,0),AT119)</f>
        <v>0</v>
      </c>
      <c r="AW119" s="66"/>
      <c r="AX119" s="95">
        <f>AT119*AX110</f>
        <v>0</v>
      </c>
      <c r="AY119" s="95">
        <f>AU119*AY110</f>
        <v>0</v>
      </c>
      <c r="AZ119" s="95">
        <f>AV119*AZ110</f>
        <v>0</v>
      </c>
      <c r="BA119" s="95">
        <f t="shared" si="88"/>
        <v>0</v>
      </c>
      <c r="BB119" s="66"/>
      <c r="BC119" s="95">
        <f>IF(ISNUMBER(I119),I119*F119*Z119/1000*Balance!$H$13/J119,0)</f>
        <v>0</v>
      </c>
      <c r="BD119" s="95">
        <f>IF(ISTEXT(K119),IF(ISNUMBER(P119),P119*M119*Z119/1000*Balance!$H$13/Q119,0),BC119)</f>
        <v>0</v>
      </c>
      <c r="BE119" s="95">
        <f>IF(ISTEXT(R119),IF(ISNUMBER(W119),W119*T119*Z119/1000*Balance!$H$13/X119,0),BC119)</f>
        <v>0</v>
      </c>
      <c r="BF119" s="66"/>
      <c r="BG119" s="95">
        <f>BC119*BG110</f>
        <v>0</v>
      </c>
      <c r="BH119" s="95">
        <f>BD119*BH110</f>
        <v>0</v>
      </c>
      <c r="BI119" s="95">
        <f>BE119*BI110</f>
        <v>0</v>
      </c>
      <c r="BJ119" s="95">
        <f t="shared" si="89"/>
        <v>0</v>
      </c>
      <c r="BK119" s="66"/>
      <c r="BL119" s="66"/>
      <c r="BM119" s="358"/>
    </row>
    <row r="120" spans="1:65" outlineLevel="1" x14ac:dyDescent="0.25">
      <c r="A120" s="61"/>
      <c r="B120" s="272"/>
      <c r="C120" s="77"/>
      <c r="D120" s="125">
        <f>MAX(0,1-K120-R120)</f>
        <v>1</v>
      </c>
      <c r="E120" s="360" t="s">
        <v>141</v>
      </c>
      <c r="F120" s="126"/>
      <c r="H120" s="97"/>
      <c r="I120" s="97"/>
      <c r="J120" s="97"/>
      <c r="K120" s="100"/>
      <c r="L120" s="126" t="s">
        <v>138</v>
      </c>
      <c r="M120" s="126"/>
      <c r="R120" s="100"/>
      <c r="S120" s="126" t="s">
        <v>139</v>
      </c>
      <c r="T120" s="126"/>
      <c r="V120" s="67"/>
      <c r="Y120" s="74"/>
      <c r="Z120" s="5" t="s">
        <v>140</v>
      </c>
      <c r="AA120" s="8"/>
      <c r="AB120" s="61"/>
      <c r="AC120" s="98"/>
      <c r="AD120" s="98" t="s">
        <v>124</v>
      </c>
      <c r="AE120" s="99">
        <f>IF(ISNUMBER($G112),1/($D107+SUM(AE112:AE119)+$D108),0)</f>
        <v>1.0771992818671454</v>
      </c>
      <c r="AF120" s="99">
        <f>IF(ISNUMBER($G112),1/($D107+SUM(AF112:AF119)+$D108),0)</f>
        <v>1.0771992818671454</v>
      </c>
      <c r="AG120" s="99">
        <f>IF(ISNUMBER($G112),1/($D107+SUM(AG112:AG119)+$D108),0)</f>
        <v>1.0771992818671454</v>
      </c>
      <c r="AH120" s="65"/>
      <c r="AI120" s="65"/>
      <c r="AJ120" s="65"/>
      <c r="AK120" s="65"/>
      <c r="AL120" s="65"/>
      <c r="AM120" s="65"/>
      <c r="AN120" s="65"/>
      <c r="AO120" s="65"/>
      <c r="AP120" s="65"/>
      <c r="AQ120" s="65"/>
      <c r="AR120" s="65"/>
      <c r="AS120" s="66"/>
      <c r="AT120" s="66"/>
      <c r="AU120" s="66"/>
      <c r="AV120" s="66"/>
      <c r="AW120" s="66"/>
      <c r="AX120" s="66"/>
      <c r="AY120" s="66"/>
      <c r="AZ120" s="66"/>
      <c r="BA120" s="66"/>
      <c r="BB120" s="66"/>
      <c r="BC120" s="66"/>
      <c r="BD120" s="66"/>
      <c r="BE120" s="66"/>
      <c r="BF120" s="66"/>
      <c r="BG120" s="66"/>
      <c r="BH120" s="66"/>
      <c r="BI120" s="66"/>
      <c r="BJ120" s="66"/>
      <c r="BK120" s="66"/>
      <c r="BL120" s="66"/>
      <c r="BM120" s="358"/>
    </row>
    <row r="121" spans="1:65" outlineLevel="1" x14ac:dyDescent="0.25">
      <c r="A121" s="61"/>
      <c r="B121" s="272"/>
      <c r="C121" s="77"/>
      <c r="D121" s="41"/>
      <c r="E121" s="116" t="s">
        <v>150</v>
      </c>
      <c r="F121" s="116"/>
      <c r="H121" s="68"/>
      <c r="I121" s="68"/>
      <c r="J121" s="68"/>
      <c r="K121" s="157" t="str">
        <f>IF(AE127&lt;=0.1,"","Der Fehler der U-Wert-Berechnung liegt möglicherweise über 10 %. Wärmebrückenberechnung?")</f>
        <v/>
      </c>
      <c r="L121" s="68"/>
      <c r="M121" s="68"/>
      <c r="N121" s="68"/>
      <c r="R121" s="5"/>
      <c r="S121" s="5"/>
      <c r="T121" s="5"/>
      <c r="U121" s="68"/>
      <c r="V121" s="68"/>
      <c r="X121" s="68"/>
      <c r="Y121" s="5"/>
      <c r="Z121" s="189">
        <f>IF(ISNUMBER(Z112),SUM(Z112:Z120)/10,"")</f>
        <v>21.5</v>
      </c>
      <c r="AA121" s="10" t="s">
        <v>8</v>
      </c>
      <c r="AB121" s="61"/>
      <c r="AC121" s="98"/>
      <c r="AD121" s="98" t="s">
        <v>125</v>
      </c>
      <c r="AE121" s="101">
        <f>1-SUM(AF121:AG121)</f>
        <v>1</v>
      </c>
      <c r="AF121" s="102">
        <f>K120</f>
        <v>0</v>
      </c>
      <c r="AG121" s="102">
        <f>R120</f>
        <v>0</v>
      </c>
      <c r="AH121" s="98"/>
      <c r="AI121" s="65"/>
      <c r="AJ121" s="65"/>
      <c r="AK121" s="65"/>
      <c r="AL121" s="65"/>
      <c r="AM121" s="65"/>
      <c r="AN121" s="65"/>
      <c r="AO121" s="65"/>
      <c r="AP121" s="65"/>
      <c r="AQ121" s="65"/>
      <c r="AR121" s="65" t="s">
        <v>393</v>
      </c>
      <c r="AS121" s="148"/>
      <c r="AT121" s="175" t="s">
        <v>393</v>
      </c>
      <c r="AU121" s="65" t="s">
        <v>366</v>
      </c>
      <c r="AV121" s="65" t="s">
        <v>355</v>
      </c>
      <c r="AW121" s="66"/>
      <c r="AX121" s="65" t="s">
        <v>394</v>
      </c>
      <c r="AY121" s="65" t="s">
        <v>356</v>
      </c>
      <c r="AZ121" s="66"/>
      <c r="BA121" s="66"/>
      <c r="BB121" s="66"/>
      <c r="BC121" s="66"/>
      <c r="BD121" s="66"/>
      <c r="BE121" s="66"/>
      <c r="BF121" s="66"/>
      <c r="BG121" s="66"/>
      <c r="BH121" s="66"/>
      <c r="BI121" s="66"/>
      <c r="BJ121" s="66"/>
      <c r="BK121" s="66"/>
      <c r="BL121" s="66"/>
      <c r="BM121" s="358"/>
    </row>
    <row r="122" spans="1:65" outlineLevel="1" x14ac:dyDescent="0.25">
      <c r="A122" s="61"/>
      <c r="B122" s="272"/>
      <c r="C122" s="77"/>
      <c r="D122" s="68"/>
      <c r="E122" s="68"/>
      <c r="F122" s="68"/>
      <c r="G122" s="68"/>
      <c r="H122" s="68"/>
      <c r="I122" s="68"/>
      <c r="J122" s="68"/>
      <c r="K122" s="68"/>
      <c r="L122" s="68"/>
      <c r="M122" s="68"/>
      <c r="N122" s="68"/>
      <c r="O122" s="68"/>
      <c r="P122" s="68"/>
      <c r="Q122" s="68"/>
      <c r="R122" s="68"/>
      <c r="T122" s="68"/>
      <c r="U122" s="68"/>
      <c r="V122" s="68"/>
      <c r="W122" s="68"/>
      <c r="X122" s="68"/>
      <c r="Y122" s="5"/>
      <c r="Z122" s="67"/>
      <c r="AA122" s="8"/>
      <c r="AB122" s="61"/>
      <c r="AC122" s="101"/>
      <c r="AD122" s="101"/>
      <c r="AE122" s="99"/>
      <c r="AF122" s="99"/>
      <c r="AG122" s="99"/>
      <c r="AH122" s="65"/>
      <c r="AI122" s="65"/>
      <c r="AJ122" s="65"/>
      <c r="AK122" s="65"/>
      <c r="AL122" s="65"/>
      <c r="AM122" s="65"/>
      <c r="AN122" s="65"/>
      <c r="AO122" s="65"/>
      <c r="AP122" s="65"/>
      <c r="AQ122" s="65"/>
      <c r="AR122" s="65"/>
      <c r="AS122" s="65"/>
      <c r="AT122" s="101" t="s">
        <v>367</v>
      </c>
      <c r="AU122" s="176">
        <f>Z123*F107*Balance!$H$6</f>
        <v>0</v>
      </c>
      <c r="AV122" s="176">
        <f>AU122*Balance!$H$13</f>
        <v>0</v>
      </c>
      <c r="AW122" s="66"/>
      <c r="AX122" s="66"/>
      <c r="AY122" s="66"/>
      <c r="AZ122" s="66"/>
      <c r="BA122" s="101" t="s">
        <v>351</v>
      </c>
      <c r="BB122" s="66"/>
      <c r="BC122" s="66"/>
      <c r="BD122" s="66"/>
      <c r="BE122" s="66"/>
      <c r="BF122" s="66"/>
      <c r="BG122" s="66"/>
      <c r="BH122" s="66"/>
      <c r="BI122" s="66"/>
      <c r="BJ122" s="66"/>
      <c r="BK122" s="66"/>
      <c r="BL122" s="66"/>
      <c r="BM122" s="358"/>
    </row>
    <row r="123" spans="1:65" ht="18" outlineLevel="1" x14ac:dyDescent="0.35">
      <c r="A123" s="61"/>
      <c r="B123" s="272"/>
      <c r="C123" s="77"/>
      <c r="H123" s="68"/>
      <c r="I123" s="68"/>
      <c r="J123" s="67"/>
      <c r="K123" s="192" t="s">
        <v>397</v>
      </c>
      <c r="L123" s="67"/>
      <c r="M123" s="67"/>
      <c r="N123" s="67"/>
      <c r="O123" s="67"/>
      <c r="P123" s="67"/>
      <c r="Q123" s="67"/>
      <c r="R123" s="14" t="s">
        <v>398</v>
      </c>
      <c r="U123" s="68"/>
      <c r="V123" s="68"/>
      <c r="W123" s="68"/>
      <c r="X123" s="68"/>
      <c r="Y123" s="127" t="s">
        <v>154</v>
      </c>
      <c r="Z123" s="193">
        <f>IF(ISNUMBER(G112),IF(AE127&lt;0.1,1/AE123,1/(AP123*1.1))+D121,"")</f>
        <v>1.0771992818671454</v>
      </c>
      <c r="AA123" s="8" t="s">
        <v>10</v>
      </c>
      <c r="AB123" s="61"/>
      <c r="AC123" s="101"/>
      <c r="AD123" s="101" t="s">
        <v>126</v>
      </c>
      <c r="AE123" s="95">
        <f>IF(ISNUMBER(G112),AVERAGE(AG123,AP123),0)</f>
        <v>0.92833333333333334</v>
      </c>
      <c r="AF123" s="101" t="s">
        <v>127</v>
      </c>
      <c r="AG123" s="95">
        <f>IF(ISNUMBER(G112),1/SUMPRODUCT(AE121:AG121,AE120:AG120),0)</f>
        <v>0.92833333333333334</v>
      </c>
      <c r="AH123" s="65"/>
      <c r="AI123" s="65"/>
      <c r="AJ123" s="65"/>
      <c r="AK123" s="65"/>
      <c r="AL123" s="103"/>
      <c r="AM123" s="65"/>
      <c r="AN123" s="65"/>
      <c r="AO123" s="101" t="s">
        <v>128</v>
      </c>
      <c r="AP123" s="95">
        <f>$D107+SUM(AP112:AP119)+$D108</f>
        <v>0.92833333333333334</v>
      </c>
      <c r="AQ123" s="65"/>
      <c r="AR123" s="65"/>
      <c r="AS123" s="152" t="str">
        <f>Data!$D$4</f>
        <v>Heat pump</v>
      </c>
      <c r="AT123" s="177" t="s">
        <v>374</v>
      </c>
      <c r="AU123" s="179">
        <f>AU122/(Balance!$H$17*Balance!$H$18*Balance!$H$19)*Balance!$H$22</f>
        <v>0</v>
      </c>
      <c r="AV123" s="176">
        <f>AU123*Balance!$H$13</f>
        <v>0</v>
      </c>
      <c r="AW123" s="66"/>
      <c r="AX123" s="186">
        <f ca="1">AU122/(Balance!$H$17*Balance!$H$18*Balance!$H$19)*Balance!$G$22/1000</f>
        <v>0</v>
      </c>
      <c r="AY123" s="176">
        <f ca="1">AX123*Balance!$H$13</f>
        <v>0</v>
      </c>
      <c r="AZ123" s="101"/>
      <c r="BA123" s="95">
        <f>SUM(BA112:BA119)</f>
        <v>35.729227504422099</v>
      </c>
      <c r="BB123" s="66" t="s">
        <v>355</v>
      </c>
      <c r="BC123" s="66"/>
      <c r="BD123" s="66"/>
      <c r="BE123" s="66"/>
      <c r="BF123" s="66"/>
      <c r="BG123" s="66"/>
      <c r="BH123" s="66"/>
      <c r="BI123" s="101" t="s">
        <v>149</v>
      </c>
      <c r="BJ123" s="95">
        <f>SUM(BJ112:BJ119)</f>
        <v>15.426250673524892</v>
      </c>
      <c r="BK123" s="66" t="s">
        <v>357</v>
      </c>
      <c r="BL123" s="66"/>
      <c r="BM123" s="358"/>
    </row>
    <row r="124" spans="1:65" ht="15.75" outlineLevel="1" x14ac:dyDescent="0.25">
      <c r="A124" s="61"/>
      <c r="B124" s="272"/>
      <c r="C124" s="77"/>
      <c r="D124" s="155"/>
      <c r="E124" s="188" t="s">
        <v>395</v>
      </c>
      <c r="F124" s="116"/>
      <c r="H124" s="68"/>
      <c r="I124" s="68"/>
      <c r="J124" s="67"/>
      <c r="K124" s="190">
        <f>BA123</f>
        <v>35.729227504422099</v>
      </c>
      <c r="L124" s="128" t="s">
        <v>400</v>
      </c>
      <c r="M124" s="67"/>
      <c r="N124" s="67"/>
      <c r="O124" s="67"/>
      <c r="P124" s="67"/>
      <c r="Q124" s="67"/>
      <c r="R124" s="190">
        <f>BJ123</f>
        <v>15.426250673524892</v>
      </c>
      <c r="S124" s="128" t="s">
        <v>399</v>
      </c>
      <c r="U124" s="68"/>
      <c r="V124" s="68"/>
      <c r="W124" s="68"/>
      <c r="X124" s="68"/>
      <c r="Y124" s="67"/>
      <c r="Z124" s="67"/>
      <c r="AA124" s="8"/>
      <c r="AB124" s="61"/>
      <c r="AC124" s="101"/>
      <c r="AD124" s="101"/>
      <c r="AE124" s="154"/>
      <c r="AF124" s="101"/>
      <c r="AG124" s="154"/>
      <c r="AH124" s="65"/>
      <c r="AI124" s="65"/>
      <c r="AJ124" s="65"/>
      <c r="AK124" s="65"/>
      <c r="AL124" s="103"/>
      <c r="AM124" s="65"/>
      <c r="AN124" s="65"/>
      <c r="AO124" s="101"/>
      <c r="AP124" s="154"/>
      <c r="AQ124" s="65"/>
      <c r="AR124" s="65"/>
      <c r="AS124" s="152" t="str">
        <f>Data!$D$5</f>
        <v>Direct electric</v>
      </c>
      <c r="AT124" s="177" t="s">
        <v>374</v>
      </c>
      <c r="AU124" s="179">
        <f>AU122/Balance!$H$18*Balance!$H$22</f>
        <v>0</v>
      </c>
      <c r="AV124" s="176">
        <f>AU124*Balance!$H$13</f>
        <v>0</v>
      </c>
      <c r="AW124" s="66"/>
      <c r="AX124" s="186">
        <f ca="1">AU122/Balance!$H$18*Balance!$G$22/1000</f>
        <v>0</v>
      </c>
      <c r="AY124" s="176">
        <f ca="1">AX124*Balance!$H$13</f>
        <v>0</v>
      </c>
      <c r="AZ124" s="101"/>
      <c r="BA124" s="154"/>
      <c r="BB124" s="66"/>
      <c r="BC124" s="66"/>
      <c r="BD124" s="66"/>
      <c r="BE124" s="66"/>
      <c r="BF124" s="66"/>
      <c r="BG124" s="66"/>
      <c r="BH124" s="66"/>
      <c r="BI124" s="101"/>
      <c r="BJ124" s="154"/>
      <c r="BK124" s="66"/>
      <c r="BL124" s="66"/>
      <c r="BM124" s="358"/>
    </row>
    <row r="125" spans="1:65" ht="15.75" outlineLevel="1" x14ac:dyDescent="0.25">
      <c r="A125" s="61"/>
      <c r="B125" s="272"/>
      <c r="C125" s="77"/>
      <c r="D125" s="155"/>
      <c r="E125" s="188" t="s">
        <v>396</v>
      </c>
      <c r="F125" s="116"/>
      <c r="H125" s="68"/>
      <c r="I125" s="68"/>
      <c r="J125" s="67"/>
      <c r="K125" s="190">
        <f>AV127</f>
        <v>0</v>
      </c>
      <c r="L125" s="128" t="s">
        <v>401</v>
      </c>
      <c r="M125" s="67"/>
      <c r="N125" s="67"/>
      <c r="O125" s="67"/>
      <c r="P125" s="67"/>
      <c r="Q125" s="67"/>
      <c r="R125" s="190">
        <f ca="1">AY127</f>
        <v>0</v>
      </c>
      <c r="S125" s="128" t="s">
        <v>358</v>
      </c>
      <c r="U125" s="68"/>
      <c r="V125" s="68"/>
      <c r="W125" s="68"/>
      <c r="X125" s="68"/>
      <c r="Y125" s="67"/>
      <c r="Z125" s="67"/>
      <c r="AA125" s="8"/>
      <c r="AB125" s="61"/>
      <c r="AC125" s="101"/>
      <c r="AD125" s="101"/>
      <c r="AE125" s="154"/>
      <c r="AF125" s="101"/>
      <c r="AG125" s="154"/>
      <c r="AH125" s="65"/>
      <c r="AI125" s="65"/>
      <c r="AJ125" s="65"/>
      <c r="AK125" s="65"/>
      <c r="AL125" s="103"/>
      <c r="AM125" s="65"/>
      <c r="AN125" s="65"/>
      <c r="AO125" s="101"/>
      <c r="AP125" s="154"/>
      <c r="AQ125" s="65"/>
      <c r="AR125" s="65"/>
      <c r="AS125" s="152" t="str">
        <f>Data!$D$6</f>
        <v>Gas boiler</v>
      </c>
      <c r="AT125" s="177" t="s">
        <v>374</v>
      </c>
      <c r="AU125" s="179">
        <f>AU122/(Balance!$H$18*Balance!$H$19)*Balance!H$23</f>
        <v>0</v>
      </c>
      <c r="AV125" s="176">
        <f>AU125*Balance!$H$13</f>
        <v>0</v>
      </c>
      <c r="AW125" s="66"/>
      <c r="AX125" s="186">
        <f ca="1">AU122/(Balance!$H$18*Balance!$H$19)*Balance!$G$23/1000</f>
        <v>0</v>
      </c>
      <c r="AY125" s="176">
        <f ca="1">AX125*Balance!$H$13</f>
        <v>0</v>
      </c>
      <c r="AZ125" s="101"/>
      <c r="BA125" s="154"/>
      <c r="BB125" s="66"/>
      <c r="BC125" s="66"/>
      <c r="BD125" s="66"/>
      <c r="BE125" s="66"/>
      <c r="BF125" s="66"/>
      <c r="BG125" s="66"/>
      <c r="BH125" s="66"/>
      <c r="BI125" s="101"/>
      <c r="BJ125" s="154"/>
      <c r="BK125" s="66"/>
      <c r="BL125" s="66"/>
      <c r="BM125" s="358"/>
    </row>
    <row r="126" spans="1:65" ht="15.75" outlineLevel="1" x14ac:dyDescent="0.25">
      <c r="A126" s="61"/>
      <c r="B126" s="272"/>
      <c r="C126" s="77"/>
      <c r="D126" s="155"/>
      <c r="E126" s="188" t="s">
        <v>352</v>
      </c>
      <c r="F126" s="116"/>
      <c r="H126" s="68"/>
      <c r="I126" s="68"/>
      <c r="J126" s="67"/>
      <c r="K126" s="191">
        <f>K125+K124</f>
        <v>35.729227504422099</v>
      </c>
      <c r="L126" s="128" t="s">
        <v>355</v>
      </c>
      <c r="M126" s="67"/>
      <c r="N126" s="67"/>
      <c r="O126" s="67"/>
      <c r="P126" s="67"/>
      <c r="Q126" s="67"/>
      <c r="R126" s="191">
        <f ca="1">R125+R124</f>
        <v>15.426250673524892</v>
      </c>
      <c r="S126" s="128" t="s">
        <v>358</v>
      </c>
      <c r="T126" s="153"/>
      <c r="U126" s="68"/>
      <c r="V126" s="68"/>
      <c r="W126" s="68"/>
      <c r="X126" s="68"/>
      <c r="Y126" s="67"/>
      <c r="Z126" s="67"/>
      <c r="AA126" s="8"/>
      <c r="AB126" s="61"/>
      <c r="AC126" s="101"/>
      <c r="AD126" s="101"/>
      <c r="AE126" s="154"/>
      <c r="AF126" s="101"/>
      <c r="AG126" s="154"/>
      <c r="AH126" s="65"/>
      <c r="AI126" s="65"/>
      <c r="AJ126" s="65"/>
      <c r="AK126" s="65"/>
      <c r="AL126" s="103"/>
      <c r="AM126" s="65"/>
      <c r="AN126" s="65"/>
      <c r="AO126" s="101"/>
      <c r="AP126" s="154"/>
      <c r="AQ126" s="65"/>
      <c r="AR126" s="65"/>
      <c r="AS126" s="152" t="str">
        <f>Data!$D$7</f>
        <v>Biomass</v>
      </c>
      <c r="AT126" s="177" t="s">
        <v>374</v>
      </c>
      <c r="AU126" s="179">
        <f>AU122/(Balance!$H$18*Balance!$H$19)*Balance!$H$24</f>
        <v>0</v>
      </c>
      <c r="AV126" s="176">
        <f>AU126*Balance!$H$13</f>
        <v>0</v>
      </c>
      <c r="AW126" s="66"/>
      <c r="AX126" s="186">
        <f ca="1">AU122/(Balance!$H$18*Balance!$H$19)*Balance!$G$24/1000</f>
        <v>0</v>
      </c>
      <c r="AY126" s="176">
        <f ca="1">AX126*Balance!$H$13</f>
        <v>0</v>
      </c>
      <c r="AZ126" s="101"/>
      <c r="BA126" s="154"/>
      <c r="BB126" s="66"/>
      <c r="BC126" s="66"/>
      <c r="BD126" s="66"/>
      <c r="BE126" s="66"/>
      <c r="BF126" s="66"/>
      <c r="BG126" s="66"/>
      <c r="BH126" s="66"/>
      <c r="BI126" s="101"/>
      <c r="BJ126" s="154"/>
      <c r="BK126" s="66"/>
      <c r="BL126" s="66"/>
      <c r="BM126" s="358"/>
    </row>
    <row r="127" spans="1:65" outlineLevel="1" x14ac:dyDescent="0.25">
      <c r="A127" s="61"/>
      <c r="B127" s="272"/>
      <c r="C127" s="104"/>
      <c r="D127" s="105"/>
      <c r="E127" s="106"/>
      <c r="F127" s="106"/>
      <c r="G127" s="106"/>
      <c r="H127" s="107"/>
      <c r="I127" s="107"/>
      <c r="J127" s="107"/>
      <c r="K127" s="106"/>
      <c r="L127" s="106"/>
      <c r="M127" s="106"/>
      <c r="N127" s="106"/>
      <c r="O127" s="106"/>
      <c r="P127" s="106"/>
      <c r="Q127" s="106"/>
      <c r="R127" s="106"/>
      <c r="S127" s="106"/>
      <c r="T127" s="106"/>
      <c r="U127" s="106"/>
      <c r="V127" s="106"/>
      <c r="W127" s="106"/>
      <c r="X127" s="106"/>
      <c r="Y127" s="106"/>
      <c r="Z127" s="108"/>
      <c r="AA127" s="109"/>
      <c r="AB127" s="61"/>
      <c r="AC127" s="101"/>
      <c r="AD127" s="101" t="s">
        <v>129</v>
      </c>
      <c r="AE127" s="110">
        <f>IF(ISNUMBER(G112),(AG123-AP123)/(2*AE123),0)</f>
        <v>0</v>
      </c>
      <c r="AF127" s="111"/>
      <c r="AG127" s="65"/>
      <c r="AH127" s="101"/>
      <c r="AI127" s="65"/>
      <c r="AJ127" s="65"/>
      <c r="AK127" s="65"/>
      <c r="AL127" s="65"/>
      <c r="AM127" s="65"/>
      <c r="AN127" s="65"/>
      <c r="AO127" s="65"/>
      <c r="AP127" s="66"/>
      <c r="AQ127" s="65"/>
      <c r="AR127" s="65"/>
      <c r="AS127" s="178" t="str">
        <f>Balance!$G$16</f>
        <v>Heat pump</v>
      </c>
      <c r="AT127" s="66"/>
      <c r="AU127" s="185">
        <f>VLOOKUP(AS127,AS123:AU126,3,0)</f>
        <v>0</v>
      </c>
      <c r="AV127" s="185">
        <f>VLOOKUP(AS127,AS123:AV126,4,0)</f>
        <v>0</v>
      </c>
      <c r="AW127" s="185"/>
      <c r="AX127" s="187">
        <f ca="1">VLOOKUP(AS127,AS123:AX126,6,0)</f>
        <v>0</v>
      </c>
      <c r="AY127" s="185">
        <f ca="1">VLOOKUP(AS127,AS123:AY126,7,0)</f>
        <v>0</v>
      </c>
      <c r="AZ127" s="66"/>
      <c r="BA127" s="66"/>
      <c r="BB127" s="66"/>
      <c r="BC127" s="66"/>
      <c r="BD127" s="66"/>
      <c r="BE127" s="66"/>
      <c r="BF127" s="66"/>
      <c r="BG127" s="66"/>
      <c r="BH127" s="66"/>
      <c r="BI127" s="66"/>
      <c r="BJ127" s="66"/>
      <c r="BK127" s="66"/>
      <c r="BL127" s="66"/>
      <c r="BM127" s="358"/>
    </row>
    <row r="128" spans="1:65" outlineLevel="1" x14ac:dyDescent="0.25">
      <c r="B128" s="201"/>
      <c r="BM128" s="358"/>
    </row>
    <row r="129" spans="1:65" outlineLevel="1" x14ac:dyDescent="0.25">
      <c r="A129" s="61"/>
      <c r="B129" s="272"/>
      <c r="C129" s="62"/>
      <c r="D129" s="114" t="s">
        <v>131</v>
      </c>
      <c r="E129" s="115" t="s">
        <v>132</v>
      </c>
      <c r="F129" s="115"/>
      <c r="G129" s="63"/>
      <c r="H129" s="63"/>
      <c r="I129" s="63"/>
      <c r="J129" s="63"/>
      <c r="K129" s="63"/>
      <c r="L129" s="63"/>
      <c r="M129" s="63"/>
      <c r="N129" s="63"/>
      <c r="O129" s="63"/>
      <c r="P129" s="63"/>
      <c r="Q129" s="63"/>
      <c r="R129" s="63"/>
      <c r="S129" s="63"/>
      <c r="T129" s="63"/>
      <c r="U129" s="63"/>
      <c r="V129" s="63"/>
      <c r="W129" s="63"/>
      <c r="X129" s="63"/>
      <c r="Y129" s="63"/>
      <c r="Z129" s="63"/>
      <c r="AA129" s="64"/>
      <c r="AB129" s="61"/>
      <c r="AC129" s="65" t="s">
        <v>402</v>
      </c>
      <c r="AD129" s="65"/>
      <c r="AE129" s="65"/>
      <c r="AF129" s="65"/>
      <c r="AG129" s="65"/>
      <c r="AH129" s="65"/>
      <c r="AI129" s="65"/>
      <c r="AJ129" s="65"/>
      <c r="AK129" s="65"/>
      <c r="AL129" s="65"/>
      <c r="AM129" s="65"/>
      <c r="AN129" s="65"/>
      <c r="AO129" s="65"/>
      <c r="AP129" s="65"/>
      <c r="AQ129" s="66"/>
      <c r="AR129" s="65" t="s">
        <v>405</v>
      </c>
      <c r="AS129" s="65"/>
      <c r="AT129" s="65"/>
      <c r="AU129" s="65"/>
      <c r="AV129" s="65"/>
      <c r="AW129" s="65"/>
      <c r="AX129" s="65"/>
      <c r="AY129" s="65"/>
      <c r="AZ129" s="65"/>
      <c r="BA129" s="65"/>
      <c r="BB129" s="65" t="s">
        <v>403</v>
      </c>
      <c r="BC129" s="65"/>
      <c r="BD129" s="65"/>
      <c r="BE129" s="65"/>
      <c r="BF129" s="65"/>
      <c r="BG129" s="65"/>
      <c r="BH129" s="65"/>
      <c r="BI129" s="65"/>
      <c r="BJ129" s="65"/>
      <c r="BK129" s="65"/>
      <c r="BL129" s="65"/>
      <c r="BM129" s="358"/>
    </row>
    <row r="130" spans="1:65" ht="15.75" x14ac:dyDescent="0.25">
      <c r="A130" s="61"/>
      <c r="B130" s="272"/>
      <c r="C130" s="69"/>
      <c r="D130" s="70">
        <v>5</v>
      </c>
      <c r="E130" s="71" t="s">
        <v>931</v>
      </c>
      <c r="F130" s="92"/>
      <c r="G130" s="72"/>
      <c r="H130" s="72"/>
      <c r="I130" s="72"/>
      <c r="J130" s="72"/>
      <c r="K130" s="72"/>
      <c r="L130" s="72"/>
      <c r="M130" s="72"/>
      <c r="N130" s="72"/>
      <c r="O130" s="72"/>
      <c r="P130" s="72"/>
      <c r="Q130" s="72"/>
      <c r="R130" s="72"/>
      <c r="S130" s="72"/>
      <c r="T130" s="72"/>
      <c r="U130" s="72"/>
      <c r="V130" s="72"/>
      <c r="W130" s="72"/>
      <c r="X130" s="72"/>
      <c r="Y130" s="72"/>
      <c r="Z130" s="73"/>
      <c r="AA130" s="75"/>
      <c r="AB130" s="61"/>
      <c r="AC130" s="65"/>
      <c r="AD130" s="65"/>
      <c r="AE130" s="76" t="s">
        <v>114</v>
      </c>
      <c r="AF130" s="65"/>
      <c r="AG130" s="65"/>
      <c r="AH130" s="65"/>
      <c r="AI130" s="65"/>
      <c r="AJ130" s="65"/>
      <c r="AK130" s="65"/>
      <c r="AL130" s="65"/>
      <c r="AM130" s="65"/>
      <c r="AN130" s="65"/>
      <c r="AO130" s="65"/>
      <c r="AP130" s="66"/>
      <c r="AQ130" s="65"/>
      <c r="AR130" s="65" t="s">
        <v>404</v>
      </c>
      <c r="AS130" s="65"/>
      <c r="AT130" s="65"/>
      <c r="AU130" s="65"/>
      <c r="AV130" s="65"/>
      <c r="AW130" s="65"/>
      <c r="AX130" s="65"/>
      <c r="AY130" s="65"/>
      <c r="AZ130" s="65"/>
      <c r="BA130" s="65"/>
      <c r="BB130" s="65" t="s">
        <v>407</v>
      </c>
      <c r="BC130" s="65"/>
      <c r="BD130" s="65"/>
      <c r="BE130" s="65"/>
      <c r="BF130" s="65"/>
      <c r="BG130" s="65"/>
      <c r="BH130" s="65"/>
      <c r="BI130" s="65"/>
      <c r="BJ130" s="65"/>
      <c r="BK130" s="65"/>
      <c r="BL130" s="65"/>
      <c r="BM130" s="358"/>
    </row>
    <row r="131" spans="1:65" outlineLevel="1" x14ac:dyDescent="0.25">
      <c r="A131" s="61"/>
      <c r="B131" s="272"/>
      <c r="C131" s="77"/>
      <c r="D131" s="116" t="s">
        <v>133</v>
      </c>
      <c r="E131" s="78"/>
      <c r="F131" s="78"/>
      <c r="AA131" s="75"/>
      <c r="AB131" s="61"/>
      <c r="AC131" s="65"/>
      <c r="AD131" s="65"/>
      <c r="AE131" s="65"/>
      <c r="AF131" s="65"/>
      <c r="AG131" s="65"/>
      <c r="AH131" s="65"/>
      <c r="AI131" s="65"/>
      <c r="AJ131" s="65"/>
      <c r="AK131" s="65"/>
      <c r="AL131" s="65"/>
      <c r="AM131" s="65"/>
      <c r="AN131" s="65"/>
      <c r="AO131" s="65"/>
      <c r="AP131" s="66"/>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65"/>
      <c r="BM131" s="358"/>
    </row>
    <row r="132" spans="1:65" outlineLevel="1" x14ac:dyDescent="0.25">
      <c r="A132" s="61"/>
      <c r="B132" s="272"/>
      <c r="C132" s="77"/>
      <c r="D132" s="79">
        <v>0.13</v>
      </c>
      <c r="E132" s="2" t="s">
        <v>151</v>
      </c>
      <c r="F132" s="138">
        <v>0</v>
      </c>
      <c r="G132" s="61"/>
      <c r="H132" s="74"/>
      <c r="I132" s="74"/>
      <c r="J132" s="74"/>
      <c r="K132" s="2" t="s">
        <v>921</v>
      </c>
      <c r="L132" s="74"/>
      <c r="M132" s="74"/>
      <c r="N132" s="74"/>
      <c r="AA132" s="75"/>
      <c r="AB132" s="61"/>
      <c r="AC132" s="65"/>
      <c r="AD132" s="65"/>
      <c r="AE132" s="65" t="s">
        <v>115</v>
      </c>
      <c r="AF132" s="65"/>
      <c r="AG132" s="65"/>
      <c r="AH132" s="65"/>
      <c r="AI132" s="65" t="s">
        <v>116</v>
      </c>
      <c r="AJ132" s="65"/>
      <c r="AK132" s="65"/>
      <c r="AL132" s="65"/>
      <c r="AM132" s="65"/>
      <c r="AN132" s="65"/>
      <c r="AO132" s="65"/>
      <c r="AP132" s="66"/>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358"/>
    </row>
    <row r="133" spans="1:65" ht="15.75" outlineLevel="1" x14ac:dyDescent="0.25">
      <c r="A133" s="61"/>
      <c r="B133" s="272"/>
      <c r="C133" s="77"/>
      <c r="D133" s="79">
        <v>0.04</v>
      </c>
      <c r="E133" s="2" t="s">
        <v>152</v>
      </c>
      <c r="F133" s="2"/>
      <c r="G133" s="61"/>
      <c r="H133" s="74"/>
      <c r="I133" s="74"/>
      <c r="J133" s="74"/>
      <c r="K133" s="74"/>
      <c r="L133" s="74"/>
      <c r="M133" s="74"/>
      <c r="N133" s="74"/>
      <c r="AA133" s="75"/>
      <c r="AB133" s="61"/>
      <c r="AC133" s="65"/>
      <c r="AD133" s="65"/>
      <c r="AE133" s="80" t="s">
        <v>117</v>
      </c>
      <c r="AF133" s="81"/>
      <c r="AG133" s="81"/>
      <c r="AH133" s="65"/>
      <c r="AI133" s="82" t="s">
        <v>118</v>
      </c>
      <c r="AJ133" s="81"/>
      <c r="AK133" s="81"/>
      <c r="AL133" s="65"/>
      <c r="AM133" s="83" t="s">
        <v>119</v>
      </c>
      <c r="AN133" s="84"/>
      <c r="AO133" s="8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358"/>
    </row>
    <row r="134" spans="1:65" ht="15.75" outlineLevel="1" x14ac:dyDescent="0.25">
      <c r="A134" s="61"/>
      <c r="B134" s="272"/>
      <c r="C134" s="77"/>
      <c r="D134" s="74"/>
      <c r="E134" s="61"/>
      <c r="F134" s="61"/>
      <c r="G134" s="61"/>
      <c r="H134" s="74"/>
      <c r="I134" s="74"/>
      <c r="J134" s="74"/>
      <c r="K134" s="74"/>
      <c r="L134" s="74"/>
      <c r="M134" s="74"/>
      <c r="N134" s="74"/>
      <c r="O134" s="1"/>
      <c r="P134" s="1"/>
      <c r="Q134" s="1"/>
      <c r="AA134" s="75"/>
      <c r="AB134" s="61"/>
      <c r="AC134" s="65"/>
      <c r="AD134" s="65"/>
      <c r="AE134" s="117"/>
      <c r="AF134" s="117"/>
      <c r="AG134" s="117"/>
      <c r="AH134" s="65"/>
      <c r="AI134" s="118"/>
      <c r="AJ134" s="117"/>
      <c r="AK134" s="117"/>
      <c r="AL134" s="65"/>
      <c r="AM134" s="119"/>
      <c r="AN134" s="119"/>
      <c r="AO134" s="119"/>
      <c r="AP134" s="65"/>
      <c r="AQ134" s="65"/>
      <c r="AR134" s="65"/>
      <c r="AS134" s="65"/>
      <c r="AT134" s="148" t="s">
        <v>351</v>
      </c>
      <c r="AU134" s="65"/>
      <c r="AV134" s="65"/>
      <c r="AW134" s="65"/>
      <c r="AX134" s="148"/>
      <c r="AY134" s="65"/>
      <c r="AZ134" s="65"/>
      <c r="BA134" s="65"/>
      <c r="BB134" s="65"/>
      <c r="BC134" s="148" t="s">
        <v>406</v>
      </c>
      <c r="BD134" s="65"/>
      <c r="BE134" s="65"/>
      <c r="BF134" s="65"/>
      <c r="BG134" s="148"/>
      <c r="BH134" s="65"/>
      <c r="BI134" s="65"/>
      <c r="BJ134" s="65"/>
      <c r="BK134" s="65"/>
      <c r="BL134" s="65"/>
      <c r="BM134" s="358"/>
    </row>
    <row r="135" spans="1:65" ht="22.5" outlineLevel="1" x14ac:dyDescent="0.25">
      <c r="A135" s="61"/>
      <c r="B135" s="272"/>
      <c r="C135" s="77"/>
      <c r="D135" s="121" t="str">
        <f>$D$35</f>
        <v>Area section 1</v>
      </c>
      <c r="E135" s="61"/>
      <c r="F135" s="122" t="str">
        <f>$F$35</f>
        <v>Count?</v>
      </c>
      <c r="G135" s="122" t="str">
        <f>$G$35</f>
        <v>Thermal conductivity</v>
      </c>
      <c r="H135" s="122" t="str">
        <f>$H$35</f>
        <v>Manfacturing energy</v>
      </c>
      <c r="I135" s="122" t="str">
        <f>$I$35</f>
        <v>GWP</v>
      </c>
      <c r="J135" s="122" t="str">
        <f>$J$35</f>
        <v>Service life</v>
      </c>
      <c r="K135" s="121" t="str">
        <f>$K$35</f>
        <v>Area section 2 (optional)</v>
      </c>
      <c r="L135" s="121"/>
      <c r="M135" s="122" t="str">
        <f>$M$35</f>
        <v>Count?</v>
      </c>
      <c r="N135" s="122" t="str">
        <f>$N$35</f>
        <v>Thermal conductivity</v>
      </c>
      <c r="O135" s="122" t="str">
        <f>$O$35</f>
        <v>Manfacturing energy</v>
      </c>
      <c r="P135" s="122" t="str">
        <f>$P$35</f>
        <v>GWP</v>
      </c>
      <c r="Q135" s="122" t="str">
        <f>$Q$35</f>
        <v>Service life</v>
      </c>
      <c r="R135" s="121" t="str">
        <f>$R$35</f>
        <v>Area section 3 (optional)</v>
      </c>
      <c r="S135" s="74"/>
      <c r="T135" s="122" t="str">
        <f>$T$35</f>
        <v>Count?</v>
      </c>
      <c r="U135" s="122" t="str">
        <f>$U$35</f>
        <v>Thermal conductivity</v>
      </c>
      <c r="V135" s="122" t="str">
        <f>$V$35</f>
        <v>Manfacturing energy</v>
      </c>
      <c r="W135" s="122" t="str">
        <f>$W$35</f>
        <v>GWP</v>
      </c>
      <c r="X135" s="122" t="str">
        <f>$X$35</f>
        <v>Service life</v>
      </c>
      <c r="Y135" s="74"/>
      <c r="Z135" s="122" t="str">
        <f>$Z$35</f>
        <v>Thickness</v>
      </c>
      <c r="AA135" s="75"/>
      <c r="AB135" s="61"/>
      <c r="AC135" s="65"/>
      <c r="AD135" s="65"/>
      <c r="AE135" s="86"/>
      <c r="AF135" s="87"/>
      <c r="AG135" s="65"/>
      <c r="AH135" s="65"/>
      <c r="AI135" s="65"/>
      <c r="AJ135" s="65"/>
      <c r="AK135" s="65"/>
      <c r="AL135" s="65"/>
      <c r="AM135" s="65"/>
      <c r="AN135" s="65"/>
      <c r="AO135" s="65"/>
      <c r="AP135" s="65"/>
      <c r="AQ135" s="65"/>
      <c r="AR135" s="65"/>
      <c r="AS135" s="65"/>
      <c r="AT135" s="148"/>
      <c r="AU135" s="65"/>
      <c r="AV135" s="65"/>
      <c r="AW135" s="151" t="s">
        <v>353</v>
      </c>
      <c r="AX135" s="149">
        <f>D145</f>
        <v>1</v>
      </c>
      <c r="AY135" s="150">
        <f>K145</f>
        <v>0</v>
      </c>
      <c r="AZ135" s="150">
        <f>R145</f>
        <v>0</v>
      </c>
      <c r="BA135" s="156">
        <f>SUM(AX135:AZ135)</f>
        <v>1</v>
      </c>
      <c r="BB135" s="65"/>
      <c r="BC135" s="148"/>
      <c r="BD135" s="65"/>
      <c r="BE135" s="65"/>
      <c r="BF135" s="151" t="s">
        <v>353</v>
      </c>
      <c r="BG135" s="149">
        <f>AX135</f>
        <v>1</v>
      </c>
      <c r="BH135" s="149">
        <f t="shared" ref="BH135" si="96">AY135</f>
        <v>0</v>
      </c>
      <c r="BI135" s="149">
        <f t="shared" ref="BI135" si="97">AZ135</f>
        <v>0</v>
      </c>
      <c r="BJ135" s="156">
        <f>SUM(BG135:BI135)</f>
        <v>1</v>
      </c>
      <c r="BK135" s="65"/>
      <c r="BL135" s="65"/>
      <c r="BM135" s="358"/>
    </row>
    <row r="136" spans="1:65" outlineLevel="1" x14ac:dyDescent="0.25">
      <c r="A136" s="61"/>
      <c r="B136" s="272"/>
      <c r="C136" s="77"/>
      <c r="E136" s="61"/>
      <c r="F136" s="120" t="s">
        <v>985</v>
      </c>
      <c r="G136" s="4" t="s">
        <v>135</v>
      </c>
      <c r="H136" s="120" t="s">
        <v>144</v>
      </c>
      <c r="I136" s="120" t="s">
        <v>148</v>
      </c>
      <c r="J136" s="120" t="s">
        <v>146</v>
      </c>
      <c r="K136" s="88"/>
      <c r="L136" s="88"/>
      <c r="M136" s="88"/>
      <c r="N136" s="4" t="s">
        <v>135</v>
      </c>
      <c r="O136" s="120" t="s">
        <v>144</v>
      </c>
      <c r="P136" s="120" t="s">
        <v>148</v>
      </c>
      <c r="Q136" s="120" t="s">
        <v>146</v>
      </c>
      <c r="R136" s="88"/>
      <c r="S136" s="88"/>
      <c r="T136" s="88"/>
      <c r="U136" s="4" t="s">
        <v>135</v>
      </c>
      <c r="V136" s="120" t="s">
        <v>144</v>
      </c>
      <c r="W136" s="120" t="s">
        <v>148</v>
      </c>
      <c r="X136" s="120" t="s">
        <v>146</v>
      </c>
      <c r="Y136" s="74"/>
      <c r="Z136" s="120" t="str">
        <f>$Z$36</f>
        <v>[mm]</v>
      </c>
      <c r="AA136" s="75"/>
      <c r="AB136" s="61"/>
      <c r="AC136" s="65"/>
      <c r="AD136" s="65"/>
      <c r="AE136" s="89" t="s">
        <v>120</v>
      </c>
      <c r="AF136" s="89" t="s">
        <v>121</v>
      </c>
      <c r="AG136" s="89" t="s">
        <v>122</v>
      </c>
      <c r="AH136" s="65"/>
      <c r="AI136" s="89" t="s">
        <v>120</v>
      </c>
      <c r="AJ136" s="89" t="s">
        <v>121</v>
      </c>
      <c r="AK136" s="89" t="s">
        <v>122</v>
      </c>
      <c r="AL136" s="90"/>
      <c r="AM136" s="89" t="s">
        <v>120</v>
      </c>
      <c r="AN136" s="89" t="s">
        <v>121</v>
      </c>
      <c r="AO136" s="89" t="s">
        <v>122</v>
      </c>
      <c r="AP136" s="90" t="s">
        <v>123</v>
      </c>
      <c r="AQ136" s="65"/>
      <c r="AR136" s="65"/>
      <c r="AS136" s="65"/>
      <c r="AT136" s="89" t="s">
        <v>120</v>
      </c>
      <c r="AU136" s="89" t="s">
        <v>121</v>
      </c>
      <c r="AV136" s="89" t="s">
        <v>122</v>
      </c>
      <c r="AW136" s="65"/>
      <c r="AX136" s="89" t="s">
        <v>120</v>
      </c>
      <c r="AY136" s="89" t="s">
        <v>121</v>
      </c>
      <c r="AZ136" s="89" t="s">
        <v>122</v>
      </c>
      <c r="BA136" s="89" t="s">
        <v>354</v>
      </c>
      <c r="BB136" s="65"/>
      <c r="BC136" s="89" t="s">
        <v>120</v>
      </c>
      <c r="BD136" s="89" t="s">
        <v>121</v>
      </c>
      <c r="BE136" s="89" t="s">
        <v>122</v>
      </c>
      <c r="BF136" s="65"/>
      <c r="BG136" s="89" t="s">
        <v>120</v>
      </c>
      <c r="BH136" s="89" t="s">
        <v>121</v>
      </c>
      <c r="BI136" s="89" t="s">
        <v>122</v>
      </c>
      <c r="BJ136" s="89" t="s">
        <v>354</v>
      </c>
      <c r="BK136" s="65"/>
      <c r="BL136" s="65"/>
      <c r="BM136" s="358"/>
    </row>
    <row r="137" spans="1:65" outlineLevel="1" x14ac:dyDescent="0.25">
      <c r="A137" s="61"/>
      <c r="B137" s="272"/>
      <c r="C137" s="91"/>
      <c r="D137" s="418" t="s">
        <v>1019</v>
      </c>
      <c r="E137" s="419"/>
      <c r="F137" s="94">
        <v>1</v>
      </c>
      <c r="G137" s="136">
        <f>IF(ISNUMBER(VLOOKUP(LEFT(D137,3),'Material editor'!$D$11:$H$110,'Material editor'!$E$8,0)),VLOOKUP(LEFT(D137,3),'Material editor'!$D$11:$H$110,'Material editor'!$E$8,0),"")</f>
        <v>1.6</v>
      </c>
      <c r="H137" s="137">
        <f>IF(ISNUMBER(VLOOKUP(LEFT(D137,3),'Material editor'!$D$11:$H$110,'Material editor'!$F$8,0)),VLOOKUP(LEFT(D137,3),'Material editor'!$D$11:$H$110,'Material editor'!$F$8,0),"")</f>
        <v>976.65624448978213</v>
      </c>
      <c r="I137" s="137">
        <f>IF(ISNUMBER(VLOOKUP(LEFT(D137,3),'Material editor'!$D$11:$H$110,'Material editor'!$G$8,0)),VLOOKUP(LEFT(D137,3),'Material editor'!$D$11:$H$110,'Material editor'!$G$8,0),"")</f>
        <v>437.56214338358876</v>
      </c>
      <c r="J137" s="137">
        <f>IF(ISNUMBER(VLOOKUP(LEFT(D137,3),'Material editor'!$D$11:$H$110,'Material editor'!$H$8,0)),VLOOKUP(LEFT(D137,3),'Material editor'!$D$11:$H$110,'Material editor'!$H$8,0),"")</f>
        <v>60</v>
      </c>
      <c r="K137" s="418"/>
      <c r="L137" s="407"/>
      <c r="M137" s="94"/>
      <c r="N137" s="136" t="str">
        <f>IF(ISNUMBER(VLOOKUP(LEFT(K137,3),'Material editor'!$D$11:$H$110,'Material editor'!$E$8,0)),VLOOKUP(LEFT(K137,3),'Material editor'!$D$11:$H$110,'Material editor'!$E$8,0),"")</f>
        <v/>
      </c>
      <c r="O137" s="137" t="str">
        <f>IF(ISNUMBER(VLOOKUP(LEFT(K137,3),'Material editor'!$D$11:$H$110,'Material editor'!$F$8,0)),VLOOKUP(LEFT(K137,3),'Material editor'!$D$11:$H$110,'Material editor'!$F$8,0),"")</f>
        <v/>
      </c>
      <c r="P137" s="137" t="str">
        <f>IF(ISNUMBER(VLOOKUP(LEFT(K137,3),'Material editor'!$D$11:$H$110,'Material editor'!$G$8,0)),VLOOKUP(LEFT(K137,3),'Material editor'!$D$11:$H$110,'Material editor'!$G$8,0),"")</f>
        <v/>
      </c>
      <c r="Q137" s="137" t="str">
        <f>IF(ISNUMBER(VLOOKUP(LEFT(K137,3),'Material editor'!$D$11:$H$110,'Material editor'!$H$8,0)),VLOOKUP(LEFT(K137,3),'Material editor'!$D$11:$H$110,'Material editor'!$H$8,0),"")</f>
        <v/>
      </c>
      <c r="R137" s="418"/>
      <c r="S137" s="407"/>
      <c r="T137" s="94"/>
      <c r="U137" s="136" t="str">
        <f>IF(ISNUMBER(VLOOKUP(LEFT(R137,3),'Material editor'!$D$11:$H$110,'Material editor'!$E$8,0)),VLOOKUP(LEFT(R137,3),'Material editor'!$D$11:$H$110,'Material editor'!$E$8,0),"")</f>
        <v/>
      </c>
      <c r="V137" s="137" t="str">
        <f>IF(ISNUMBER(VLOOKUP(LEFT(R137,3),'Material editor'!$D$11:$H$110,'Material editor'!$F$8,0)),VLOOKUP(LEFT(R137,3),'Material editor'!$D$11:$H$110,'Material editor'!$F$8,0),"")</f>
        <v/>
      </c>
      <c r="W137" s="137" t="str">
        <f>IF(ISNUMBER(VLOOKUP(LEFT(R137,3),'Material editor'!$D$11:$H$110,'Material editor'!$G$8,0)),VLOOKUP(LEFT(R137,3),'Material editor'!$D$11:$H$110,'Material editor'!$G$8,0),"")</f>
        <v/>
      </c>
      <c r="X137" s="137" t="str">
        <f>IF(ISNUMBER(VLOOKUP(LEFT(R137,3),'Material editor'!$D$11:$H$110,'Material editor'!$H$8,0)),VLOOKUP(LEFT(R137,3),'Material editor'!$D$11:$H$110,'Material editor'!$H$8,0),"")</f>
        <v/>
      </c>
      <c r="Y137" s="74"/>
      <c r="Z137" s="94">
        <v>50</v>
      </c>
      <c r="AA137" s="8"/>
      <c r="AB137" s="61"/>
      <c r="AC137" s="65"/>
      <c r="AD137" s="65"/>
      <c r="AE137" s="95">
        <f t="shared" ref="AE137:AE144" si="98">IF(ISNUMBER(G137),IF(G137&gt;0,$Z137/1000/G137,0),0)</f>
        <v>3.125E-2</v>
      </c>
      <c r="AF137" s="95">
        <f t="shared" ref="AF137:AF144" si="99">IF(ISNUMBER(N137),IF(N137&gt;0,$Z137/1000/N137,0),$AE137)</f>
        <v>3.125E-2</v>
      </c>
      <c r="AG137" s="95">
        <f t="shared" ref="AG137:AG144" si="100">IF(ISNUMBER(U137),IF(U137&gt;0,$Z137/1000/U137,0),$AE137)</f>
        <v>3.125E-2</v>
      </c>
      <c r="AH137" s="65"/>
      <c r="AI137" s="95">
        <f t="shared" ref="AI137:AI143" si="101">IF(ISNUMBER(G137),G137,0)</f>
        <v>1.6</v>
      </c>
      <c r="AJ137" s="95">
        <f t="shared" ref="AJ137:AJ144" si="102">IF(ISNUMBER(N137),IF(N137&gt;0,N137,0),$AI137)</f>
        <v>1.6</v>
      </c>
      <c r="AK137" s="95">
        <f t="shared" ref="AK137:AK144" si="103">IF(ISNUMBER(U137),IF(U137&gt;0,U137,0),$AI137)</f>
        <v>1.6</v>
      </c>
      <c r="AL137" s="65"/>
      <c r="AM137" s="96">
        <f>AE146</f>
        <v>1</v>
      </c>
      <c r="AN137" s="96">
        <f>AF146</f>
        <v>0</v>
      </c>
      <c r="AO137" s="96">
        <f>AG146</f>
        <v>0</v>
      </c>
      <c r="AP137" s="65">
        <f t="shared" ref="AP137:AP144" si="104">IF(AI137&lt;&gt;0,Z137/1000/SUMPRODUCT(AM137:AO137,AI137:AK137),0)</f>
        <v>3.125E-2</v>
      </c>
      <c r="AQ137" s="65"/>
      <c r="AR137" s="65"/>
      <c r="AS137" s="65"/>
      <c r="AT137" s="95">
        <f>IF(ISNUMBER(H137),H137*F137*Z137/1000*Balance!$H$13/J137,0)</f>
        <v>16.2776040748297</v>
      </c>
      <c r="AU137" s="95">
        <f>IF(ISTEXT(K137),IF(ISNUMBER(O137),O137*M137*Z137/1000*Balance!$H$13/Q137,0),AT137)</f>
        <v>16.2776040748297</v>
      </c>
      <c r="AV137" s="95">
        <f>IF(ISTEXT(R137),IF(ISNUMBER(V137),V137*T137*Z137/1000*Balance!$H$13/X137,0),AT137)</f>
        <v>16.2776040748297</v>
      </c>
      <c r="AW137" s="99"/>
      <c r="AX137" s="95">
        <f>AT137*AX135</f>
        <v>16.2776040748297</v>
      </c>
      <c r="AY137" s="95">
        <f>AU137*AY135</f>
        <v>0</v>
      </c>
      <c r="AZ137" s="95">
        <f>AV137*AZ135</f>
        <v>0</v>
      </c>
      <c r="BA137" s="95">
        <f>SUM(AX137:AZ137)</f>
        <v>16.2776040748297</v>
      </c>
      <c r="BB137" s="65"/>
      <c r="BC137" s="95">
        <f>IF(ISNUMBER(I137),I137*F137*Z137/1000*Balance!$H$13/J137,0)</f>
        <v>7.2927023897264807</v>
      </c>
      <c r="BD137" s="95">
        <f>IF(ISTEXT(K137),IF(ISNUMBER(P137),P137*M137*Z137/1000*Balance!$H$13/Q137,0),BC137)</f>
        <v>7.2927023897264807</v>
      </c>
      <c r="BE137" s="95">
        <f>IF(ISTEXT(R137),IF(ISNUMBER(W137),W137*T137*Z137/1000*Balance!$H$13/X137,0),BC137)</f>
        <v>7.2927023897264807</v>
      </c>
      <c r="BF137" s="99"/>
      <c r="BG137" s="95">
        <f>BC137*BG135</f>
        <v>7.2927023897264807</v>
      </c>
      <c r="BH137" s="95">
        <f>BD137*BH135</f>
        <v>0</v>
      </c>
      <c r="BI137" s="95">
        <f>BE137*BI135</f>
        <v>0</v>
      </c>
      <c r="BJ137" s="95">
        <f>SUM(BG137:BI137)</f>
        <v>7.2927023897264807</v>
      </c>
      <c r="BK137" s="65"/>
      <c r="BL137" s="65"/>
      <c r="BM137" s="358"/>
    </row>
    <row r="138" spans="1:65" outlineLevel="1" x14ac:dyDescent="0.25">
      <c r="A138" s="61"/>
      <c r="B138" s="272"/>
      <c r="C138" s="91"/>
      <c r="D138" s="418" t="s">
        <v>939</v>
      </c>
      <c r="E138" s="419"/>
      <c r="F138" s="94">
        <v>1</v>
      </c>
      <c r="G138" s="136">
        <f>IF(ISNUMBER(VLOOKUP(LEFT(D138,3),'Material editor'!$D$11:$H$110,'Material editor'!$E$8,0)),VLOOKUP(LEFT(D138,3),'Material editor'!$D$11:$H$110,'Material editor'!$E$8,0),"")</f>
        <v>3.5000000000000003E-2</v>
      </c>
      <c r="H138" s="137">
        <f>IF(ISNUMBER(VLOOKUP(LEFT(D138,3),'Material editor'!$D$11:$H$110,'Material editor'!$F$8,0)),VLOOKUP(LEFT(D138,3),'Material editor'!$D$11:$H$110,'Material editor'!$F$8,0),"")</f>
        <v>217.89999999999998</v>
      </c>
      <c r="I138" s="137">
        <f>IF(ISNUMBER(VLOOKUP(LEFT(D138,3),'Material editor'!$D$11:$H$110,'Material editor'!$G$8,0)),VLOOKUP(LEFT(D138,3),'Material editor'!$D$11:$H$110,'Material editor'!$G$8,0),"")</f>
        <v>49.7</v>
      </c>
      <c r="J138" s="137">
        <f>IF(ISNUMBER(VLOOKUP(LEFT(D138,3),'Material editor'!$D$11:$H$110,'Material editor'!$H$8,0)),VLOOKUP(LEFT(D138,3),'Material editor'!$D$11:$H$110,'Material editor'!$H$8,0),"")</f>
        <v>60</v>
      </c>
      <c r="K138" s="418"/>
      <c r="L138" s="407"/>
      <c r="M138" s="94"/>
      <c r="N138" s="136" t="str">
        <f>IF(ISNUMBER(VLOOKUP(LEFT(K138,3),'Material editor'!$D$11:$H$110,'Material editor'!$E$8,0)),VLOOKUP(LEFT(K138,3),'Material editor'!$D$11:$H$110,'Material editor'!$E$8,0),"")</f>
        <v/>
      </c>
      <c r="O138" s="137" t="str">
        <f>IF(ISNUMBER(VLOOKUP(LEFT(K138,3),'Material editor'!$D$11:$H$110,'Material editor'!$F$8,0)),VLOOKUP(LEFT(K138,3),'Material editor'!$D$11:$H$110,'Material editor'!$F$8,0),"")</f>
        <v/>
      </c>
      <c r="P138" s="137" t="str">
        <f>IF(ISNUMBER(VLOOKUP(LEFT(K138,3),'Material editor'!$D$11:$H$110,'Material editor'!$G$8,0)),VLOOKUP(LEFT(K138,3),'Material editor'!$D$11:$H$110,'Material editor'!$G$8,0),"")</f>
        <v/>
      </c>
      <c r="Q138" s="137" t="str">
        <f>IF(ISNUMBER(VLOOKUP(LEFT(K138,3),'Material editor'!$D$11:$H$110,'Material editor'!$H$8,0)),VLOOKUP(LEFT(K138,3),'Material editor'!$D$11:$H$110,'Material editor'!$H$8,0),"")</f>
        <v/>
      </c>
      <c r="R138" s="418"/>
      <c r="S138" s="407"/>
      <c r="T138" s="94"/>
      <c r="U138" s="136" t="str">
        <f>IF(ISNUMBER(VLOOKUP(LEFT(R138,3),'Material editor'!$D$11:$H$110,'Material editor'!$E$8,0)),VLOOKUP(LEFT(R138,3),'Material editor'!$D$11:$H$110,'Material editor'!$E$8,0),"")</f>
        <v/>
      </c>
      <c r="V138" s="137" t="str">
        <f>IF(ISNUMBER(VLOOKUP(LEFT(R138,3),'Material editor'!$D$11:$H$110,'Material editor'!$F$8,0)),VLOOKUP(LEFT(R138,3),'Material editor'!$D$11:$H$110,'Material editor'!$F$8,0),"")</f>
        <v/>
      </c>
      <c r="W138" s="137" t="str">
        <f>IF(ISNUMBER(VLOOKUP(LEFT(R138,3),'Material editor'!$D$11:$H$110,'Material editor'!$G$8,0)),VLOOKUP(LEFT(R138,3),'Material editor'!$D$11:$H$110,'Material editor'!$G$8,0),"")</f>
        <v/>
      </c>
      <c r="X138" s="137" t="str">
        <f>IF(ISNUMBER(VLOOKUP(LEFT(R138,3),'Material editor'!$D$11:$H$110,'Material editor'!$H$8,0)),VLOOKUP(LEFT(R138,3),'Material editor'!$D$11:$H$110,'Material editor'!$H$8,0),"")</f>
        <v/>
      </c>
      <c r="Y138" s="74"/>
      <c r="Z138" s="94">
        <v>30</v>
      </c>
      <c r="AA138" s="8"/>
      <c r="AB138" s="61"/>
      <c r="AC138" s="65"/>
      <c r="AD138" s="65"/>
      <c r="AE138" s="95">
        <f t="shared" si="98"/>
        <v>0.85714285714285698</v>
      </c>
      <c r="AF138" s="95">
        <f t="shared" si="99"/>
        <v>0.85714285714285698</v>
      </c>
      <c r="AG138" s="95">
        <f t="shared" si="100"/>
        <v>0.85714285714285698</v>
      </c>
      <c r="AH138" s="65"/>
      <c r="AI138" s="95">
        <f t="shared" si="101"/>
        <v>3.5000000000000003E-2</v>
      </c>
      <c r="AJ138" s="95">
        <f t="shared" si="102"/>
        <v>3.5000000000000003E-2</v>
      </c>
      <c r="AK138" s="95">
        <f t="shared" si="103"/>
        <v>3.5000000000000003E-2</v>
      </c>
      <c r="AL138" s="65"/>
      <c r="AM138" s="96">
        <f t="shared" ref="AM138:AO138" si="105">AM137</f>
        <v>1</v>
      </c>
      <c r="AN138" s="96">
        <f t="shared" si="105"/>
        <v>0</v>
      </c>
      <c r="AO138" s="96">
        <f t="shared" si="105"/>
        <v>0</v>
      </c>
      <c r="AP138" s="65">
        <f t="shared" si="104"/>
        <v>0.85714285714285698</v>
      </c>
      <c r="AQ138" s="65"/>
      <c r="AR138" s="65"/>
      <c r="AS138" s="65"/>
      <c r="AT138" s="95">
        <f>IF(ISNUMBER(H138),H138*F138*Z138/1000*Balance!$H$13/J138,0)</f>
        <v>2.1789999999999998</v>
      </c>
      <c r="AU138" s="95">
        <f>IF(ISTEXT(K138),IF(ISNUMBER(O138),O138*M138*Z138/1000*Balance!$H$13/Q138,0),AT138)</f>
        <v>2.1789999999999998</v>
      </c>
      <c r="AV138" s="95">
        <f>IF(ISTEXT(R138),IF(ISNUMBER(V138),V138*T138*Z138/1000*Balance!$H$13/X138,0),AT138)</f>
        <v>2.1789999999999998</v>
      </c>
      <c r="AW138" s="65"/>
      <c r="AX138" s="95">
        <f>AT138*AX135</f>
        <v>2.1789999999999998</v>
      </c>
      <c r="AY138" s="95">
        <f>AU138*AY135</f>
        <v>0</v>
      </c>
      <c r="AZ138" s="95">
        <f>AV138*AZ135</f>
        <v>0</v>
      </c>
      <c r="BA138" s="95">
        <f t="shared" ref="BA138:BA144" si="106">SUM(AX138:AZ138)</f>
        <v>2.1789999999999998</v>
      </c>
      <c r="BB138" s="65"/>
      <c r="BC138" s="95">
        <f>IF(ISNUMBER(I138),I138*F138*Z138/1000*Balance!$H$13/J138,0)</f>
        <v>0.497</v>
      </c>
      <c r="BD138" s="95">
        <f>IF(ISTEXT(K138),IF(ISNUMBER(P138),P138*M138*Z138/1000*Balance!$H$13/Q138,0),BC138)</f>
        <v>0.497</v>
      </c>
      <c r="BE138" s="95">
        <f>IF(ISTEXT(R138),IF(ISNUMBER(W138),W138*T138*Z138/1000*Balance!$H$13/X138,0),BC138)</f>
        <v>0.497</v>
      </c>
      <c r="BF138" s="65"/>
      <c r="BG138" s="95">
        <f>BC138*BG135</f>
        <v>0.497</v>
      </c>
      <c r="BH138" s="95">
        <f>BD138*BH135</f>
        <v>0</v>
      </c>
      <c r="BI138" s="95">
        <f>BE138*BI135</f>
        <v>0</v>
      </c>
      <c r="BJ138" s="95">
        <f t="shared" ref="BJ138:BJ144" si="107">SUM(BG138:BI138)</f>
        <v>0.497</v>
      </c>
      <c r="BK138" s="65"/>
      <c r="BL138" s="65"/>
      <c r="BM138" s="358"/>
    </row>
    <row r="139" spans="1:65" outlineLevel="1" x14ac:dyDescent="0.25">
      <c r="A139" s="61"/>
      <c r="B139" s="272"/>
      <c r="C139" s="91"/>
      <c r="D139" s="418" t="s">
        <v>1021</v>
      </c>
      <c r="E139" s="419"/>
      <c r="F139" s="94">
        <v>1</v>
      </c>
      <c r="G139" s="136">
        <f>IF(ISNUMBER(VLOOKUP(LEFT(D139,3),'Material editor'!$D$11:$H$110,'Material editor'!$E$8,0)),VLOOKUP(LEFT(D139,3),'Material editor'!$D$11:$H$110,'Material editor'!$E$8,0),"")</f>
        <v>7.0000000000000007E-2</v>
      </c>
      <c r="H139" s="137">
        <f>IF(ISNUMBER(VLOOKUP(LEFT(D139,3),'Material editor'!$D$11:$H$110,'Material editor'!$F$8,0)),VLOOKUP(LEFT(D139,3),'Material editor'!$D$11:$H$110,'Material editor'!$F$8,0),"")</f>
        <v>741.54338287331916</v>
      </c>
      <c r="I139" s="137">
        <f>IF(ISNUMBER(VLOOKUP(LEFT(D139,3),'Material editor'!$D$11:$H$110,'Material editor'!$G$8,0)),VLOOKUP(LEFT(D139,3),'Material editor'!$D$11:$H$110,'Material editor'!$G$8,0),"")</f>
        <v>309.22721974522295</v>
      </c>
      <c r="J139" s="137">
        <f>IF(ISNUMBER(VLOOKUP(LEFT(D139,3),'Material editor'!$D$11:$H$110,'Material editor'!$H$8,0)),VLOOKUP(LEFT(D139,3),'Material editor'!$D$11:$H$110,'Material editor'!$H$8,0),"")</f>
        <v>80</v>
      </c>
      <c r="K139" s="418"/>
      <c r="L139" s="407"/>
      <c r="M139" s="94"/>
      <c r="N139" s="136" t="str">
        <f>IF(ISNUMBER(VLOOKUP(LEFT(K139,3),'Material editor'!$D$11:$H$110,'Material editor'!$E$8,0)),VLOOKUP(LEFT(K139,3),'Material editor'!$D$11:$H$110,'Material editor'!$E$8,0),"")</f>
        <v/>
      </c>
      <c r="O139" s="137" t="str">
        <f>IF(ISNUMBER(VLOOKUP(LEFT(K139,3),'Material editor'!$D$11:$H$110,'Material editor'!$F$8,0)),VLOOKUP(LEFT(K139,3),'Material editor'!$D$11:$H$110,'Material editor'!$F$8,0),"")</f>
        <v/>
      </c>
      <c r="P139" s="137" t="str">
        <f>IF(ISNUMBER(VLOOKUP(LEFT(K139,3),'Material editor'!$D$11:$H$110,'Material editor'!$G$8,0)),VLOOKUP(LEFT(K139,3),'Material editor'!$D$11:$H$110,'Material editor'!$G$8,0),"")</f>
        <v/>
      </c>
      <c r="Q139" s="137" t="str">
        <f>IF(ISNUMBER(VLOOKUP(LEFT(K139,3),'Material editor'!$D$11:$H$110,'Material editor'!$H$8,0)),VLOOKUP(LEFT(K139,3),'Material editor'!$D$11:$H$110,'Material editor'!$H$8,0),"")</f>
        <v/>
      </c>
      <c r="R139" s="418"/>
      <c r="S139" s="407"/>
      <c r="T139" s="94"/>
      <c r="U139" s="136" t="str">
        <f>IF(ISNUMBER(VLOOKUP(LEFT(R139,3),'Material editor'!$D$11:$H$110,'Material editor'!$E$8,0)),VLOOKUP(LEFT(R139,3),'Material editor'!$D$11:$H$110,'Material editor'!$E$8,0),"")</f>
        <v/>
      </c>
      <c r="V139" s="137" t="str">
        <f>IF(ISNUMBER(VLOOKUP(LEFT(R139,3),'Material editor'!$D$11:$H$110,'Material editor'!$F$8,0)),VLOOKUP(LEFT(R139,3),'Material editor'!$D$11:$H$110,'Material editor'!$F$8,0),"")</f>
        <v/>
      </c>
      <c r="W139" s="137" t="str">
        <f>IF(ISNUMBER(VLOOKUP(LEFT(R139,3),'Material editor'!$D$11:$H$110,'Material editor'!$G$8,0)),VLOOKUP(LEFT(R139,3),'Material editor'!$D$11:$H$110,'Material editor'!$G$8,0),"")</f>
        <v/>
      </c>
      <c r="X139" s="137" t="str">
        <f>IF(ISNUMBER(VLOOKUP(LEFT(R139,3),'Material editor'!$D$11:$H$110,'Material editor'!$H$8,0)),VLOOKUP(LEFT(R139,3),'Material editor'!$D$11:$H$110,'Material editor'!$H$8,0),"")</f>
        <v/>
      </c>
      <c r="Y139" s="74"/>
      <c r="Z139" s="94">
        <v>180</v>
      </c>
      <c r="AA139" s="8"/>
      <c r="AB139" s="61"/>
      <c r="AC139" s="65"/>
      <c r="AD139" s="65"/>
      <c r="AE139" s="95">
        <f t="shared" si="98"/>
        <v>2.5714285714285712</v>
      </c>
      <c r="AF139" s="95">
        <f t="shared" si="99"/>
        <v>2.5714285714285712</v>
      </c>
      <c r="AG139" s="95">
        <f t="shared" si="100"/>
        <v>2.5714285714285712</v>
      </c>
      <c r="AH139" s="65"/>
      <c r="AI139" s="95">
        <f t="shared" si="101"/>
        <v>7.0000000000000007E-2</v>
      </c>
      <c r="AJ139" s="95">
        <f t="shared" si="102"/>
        <v>7.0000000000000007E-2</v>
      </c>
      <c r="AK139" s="95">
        <f t="shared" si="103"/>
        <v>7.0000000000000007E-2</v>
      </c>
      <c r="AL139" s="65"/>
      <c r="AM139" s="96">
        <f t="shared" ref="AM139:AO139" si="108">AM138</f>
        <v>1</v>
      </c>
      <c r="AN139" s="96">
        <f t="shared" si="108"/>
        <v>0</v>
      </c>
      <c r="AO139" s="96">
        <f t="shared" si="108"/>
        <v>0</v>
      </c>
      <c r="AP139" s="65">
        <f t="shared" si="104"/>
        <v>2.5714285714285712</v>
      </c>
      <c r="AQ139" s="65"/>
      <c r="AR139" s="65"/>
      <c r="AS139" s="65"/>
      <c r="AT139" s="95">
        <f>IF(ISNUMBER(H139),H139*F139*Z139/1000*Balance!$H$13/J139,0)</f>
        <v>33.369452229299363</v>
      </c>
      <c r="AU139" s="95">
        <f>IF(ISTEXT(K139),IF(ISNUMBER(O139),O139*M139*Z139/1000*Balance!$H$13/Q139,0),AT139)</f>
        <v>33.369452229299363</v>
      </c>
      <c r="AV139" s="95">
        <f>IF(ISTEXT(R139),IF(ISNUMBER(V139),V139*T139*Z139/1000*Balance!$H$13/X139,0),AT139)</f>
        <v>33.369452229299363</v>
      </c>
      <c r="AW139" s="65"/>
      <c r="AX139" s="95">
        <f>AT139*AX135</f>
        <v>33.369452229299363</v>
      </c>
      <c r="AY139" s="95">
        <f>AU139*AY135</f>
        <v>0</v>
      </c>
      <c r="AZ139" s="95">
        <f>AV139*AZ135</f>
        <v>0</v>
      </c>
      <c r="BA139" s="95">
        <f t="shared" si="106"/>
        <v>33.369452229299363</v>
      </c>
      <c r="BB139" s="65"/>
      <c r="BC139" s="95">
        <f>IF(ISNUMBER(I139),I139*F139*Z139/1000*Balance!$H$13/J139,0)</f>
        <v>13.915224888535032</v>
      </c>
      <c r="BD139" s="95">
        <f>IF(ISTEXT(K139),IF(ISNUMBER(P139),P139*M139*Z139/1000*Balance!$H$13/Q139,0),BC139)</f>
        <v>13.915224888535032</v>
      </c>
      <c r="BE139" s="95">
        <f>IF(ISTEXT(R139),IF(ISNUMBER(W139),W139*T139*Z139/1000*Balance!$H$13/X139,0),BC139)</f>
        <v>13.915224888535032</v>
      </c>
      <c r="BF139" s="65"/>
      <c r="BG139" s="95">
        <f>BC139*BG135</f>
        <v>13.915224888535032</v>
      </c>
      <c r="BH139" s="95">
        <f>BD139*BH135</f>
        <v>0</v>
      </c>
      <c r="BI139" s="95">
        <f>BE139*BI135</f>
        <v>0</v>
      </c>
      <c r="BJ139" s="95">
        <f t="shared" si="107"/>
        <v>13.915224888535032</v>
      </c>
      <c r="BK139" s="65"/>
      <c r="BL139" s="65"/>
      <c r="BM139" s="358"/>
    </row>
    <row r="140" spans="1:65" outlineLevel="1" x14ac:dyDescent="0.25">
      <c r="A140" s="61"/>
      <c r="B140" s="272"/>
      <c r="C140" s="91"/>
      <c r="D140" s="418" t="s">
        <v>1023</v>
      </c>
      <c r="E140" s="419"/>
      <c r="F140" s="94">
        <v>1</v>
      </c>
      <c r="G140" s="136">
        <f>IF(ISNUMBER(VLOOKUP(LEFT(D140,3),'Material editor'!$D$11:$H$110,'Material editor'!$E$8,0)),VLOOKUP(LEFT(D140,3),'Material editor'!$D$11:$H$110,'Material editor'!$E$8,0),"")</f>
        <v>0.54</v>
      </c>
      <c r="H140" s="137">
        <f>IF(ISNUMBER(VLOOKUP(LEFT(D140,3),'Material editor'!$D$11:$H$110,'Material editor'!$F$8,0)),VLOOKUP(LEFT(D140,3),'Material editor'!$D$11:$H$110,'Material editor'!$F$8,0),"")</f>
        <v>615.62380504232146</v>
      </c>
      <c r="I140" s="137">
        <f>IF(ISNUMBER(VLOOKUP(LEFT(D140,3),'Material editor'!$D$11:$H$110,'Material editor'!$G$8,0)),VLOOKUP(LEFT(D140,3),'Material editor'!$D$11:$H$110,'Material editor'!$G$8,0),"")</f>
        <v>118.443629056085</v>
      </c>
      <c r="J140" s="137">
        <f>IF(ISNUMBER(VLOOKUP(LEFT(D140,3),'Material editor'!$D$11:$H$110,'Material editor'!$H$8,0)),VLOOKUP(LEFT(D140,3),'Material editor'!$D$11:$H$110,'Material editor'!$H$8,0),"")</f>
        <v>40</v>
      </c>
      <c r="K140" s="418"/>
      <c r="L140" s="407"/>
      <c r="M140" s="94"/>
      <c r="N140" s="136" t="str">
        <f>IF(ISNUMBER(VLOOKUP(LEFT(K140,3),'Material editor'!$D$11:$H$110,'Material editor'!$E$8,0)),VLOOKUP(LEFT(K140,3),'Material editor'!$D$11:$H$110,'Material editor'!$E$8,0),"")</f>
        <v/>
      </c>
      <c r="O140" s="137" t="str">
        <f>IF(ISNUMBER(VLOOKUP(LEFT(K140,3),'Material editor'!$D$11:$H$110,'Material editor'!$F$8,0)),VLOOKUP(LEFT(K140,3),'Material editor'!$D$11:$H$110,'Material editor'!$F$8,0),"")</f>
        <v/>
      </c>
      <c r="P140" s="137" t="str">
        <f>IF(ISNUMBER(VLOOKUP(LEFT(K140,3),'Material editor'!$D$11:$H$110,'Material editor'!$G$8,0)),VLOOKUP(LEFT(K140,3),'Material editor'!$D$11:$H$110,'Material editor'!$G$8,0),"")</f>
        <v/>
      </c>
      <c r="Q140" s="137" t="str">
        <f>IF(ISNUMBER(VLOOKUP(LEFT(K140,3),'Material editor'!$D$11:$H$110,'Material editor'!$H$8,0)),VLOOKUP(LEFT(K140,3),'Material editor'!$D$11:$H$110,'Material editor'!$H$8,0),"")</f>
        <v/>
      </c>
      <c r="R140" s="418"/>
      <c r="S140" s="407"/>
      <c r="T140" s="94"/>
      <c r="U140" s="136" t="str">
        <f>IF(ISNUMBER(VLOOKUP(LEFT(R140,3),'Material editor'!$D$11:$H$110,'Material editor'!$E$8,0)),VLOOKUP(LEFT(R140,3),'Material editor'!$D$11:$H$110,'Material editor'!$E$8,0),"")</f>
        <v/>
      </c>
      <c r="V140" s="137" t="str">
        <f>IF(ISNUMBER(VLOOKUP(LEFT(R140,3),'Material editor'!$D$11:$H$110,'Material editor'!$F$8,0)),VLOOKUP(LEFT(R140,3),'Material editor'!$D$11:$H$110,'Material editor'!$F$8,0),"")</f>
        <v/>
      </c>
      <c r="W140" s="137" t="str">
        <f>IF(ISNUMBER(VLOOKUP(LEFT(R140,3),'Material editor'!$D$11:$H$110,'Material editor'!$G$8,0)),VLOOKUP(LEFT(R140,3),'Material editor'!$D$11:$H$110,'Material editor'!$G$8,0),"")</f>
        <v/>
      </c>
      <c r="X140" s="137" t="str">
        <f>IF(ISNUMBER(VLOOKUP(LEFT(R140,3),'Material editor'!$D$11:$H$110,'Material editor'!$H$8,0)),VLOOKUP(LEFT(R140,3),'Material editor'!$D$11:$H$110,'Material editor'!$H$8,0),"")</f>
        <v/>
      </c>
      <c r="Y140" s="74"/>
      <c r="Z140" s="94">
        <v>15</v>
      </c>
      <c r="AA140" s="8"/>
      <c r="AB140" s="61"/>
      <c r="AC140" s="65"/>
      <c r="AD140" s="65"/>
      <c r="AE140" s="95">
        <f t="shared" si="98"/>
        <v>2.7777777777777776E-2</v>
      </c>
      <c r="AF140" s="95">
        <f t="shared" si="99"/>
        <v>2.7777777777777776E-2</v>
      </c>
      <c r="AG140" s="95">
        <f t="shared" si="100"/>
        <v>2.7777777777777776E-2</v>
      </c>
      <c r="AH140" s="65"/>
      <c r="AI140" s="95">
        <f t="shared" si="101"/>
        <v>0.54</v>
      </c>
      <c r="AJ140" s="95">
        <f t="shared" si="102"/>
        <v>0.54</v>
      </c>
      <c r="AK140" s="95">
        <f t="shared" si="103"/>
        <v>0.54</v>
      </c>
      <c r="AL140" s="65"/>
      <c r="AM140" s="96">
        <f t="shared" ref="AM140:AO140" si="109">AM139</f>
        <v>1</v>
      </c>
      <c r="AN140" s="96">
        <f t="shared" si="109"/>
        <v>0</v>
      </c>
      <c r="AO140" s="96">
        <f t="shared" si="109"/>
        <v>0</v>
      </c>
      <c r="AP140" s="65">
        <f t="shared" si="104"/>
        <v>2.7777777777777776E-2</v>
      </c>
      <c r="AQ140" s="65"/>
      <c r="AR140" s="65"/>
      <c r="AS140" s="65"/>
      <c r="AT140" s="95">
        <f>IF(ISNUMBER(H140),H140*F140*Z140/1000*Balance!$H$13/J140,0)</f>
        <v>4.6171785378174111</v>
      </c>
      <c r="AU140" s="95">
        <f>IF(ISTEXT(K140),IF(ISNUMBER(O140),O140*M140*Z140/1000*Balance!$H$13/Q140,0),AT140)</f>
        <v>4.6171785378174111</v>
      </c>
      <c r="AV140" s="95">
        <f>IF(ISTEXT(R140),IF(ISNUMBER(V140),V140*T140*Z140/1000*Balance!$H$13/X140,0),AT140)</f>
        <v>4.6171785378174111</v>
      </c>
      <c r="AW140" s="65"/>
      <c r="AX140" s="95">
        <f>AT140*AX135</f>
        <v>4.6171785378174111</v>
      </c>
      <c r="AY140" s="95">
        <f>AU140*AY135</f>
        <v>0</v>
      </c>
      <c r="AZ140" s="95">
        <f>AV140*AZ135</f>
        <v>0</v>
      </c>
      <c r="BA140" s="95">
        <f t="shared" si="106"/>
        <v>4.6171785378174111</v>
      </c>
      <c r="BB140" s="65"/>
      <c r="BC140" s="95">
        <f>IF(ISNUMBER(I140),I140*F140*Z140/1000*Balance!$H$13/J140,0)</f>
        <v>0.88832721792063762</v>
      </c>
      <c r="BD140" s="95">
        <f>IF(ISTEXT(K140),IF(ISNUMBER(P140),P140*M140*Z140/1000*Balance!$H$13/Q140,0),BC140)</f>
        <v>0.88832721792063762</v>
      </c>
      <c r="BE140" s="95">
        <f>IF(ISTEXT(R140),IF(ISNUMBER(W140),W140*T140*Z140/1000*Balance!$H$13/X140,0),BC140)</f>
        <v>0.88832721792063762</v>
      </c>
      <c r="BF140" s="65"/>
      <c r="BG140" s="95">
        <f>BC140*BG135</f>
        <v>0.88832721792063762</v>
      </c>
      <c r="BH140" s="95">
        <f>BD140*BH135</f>
        <v>0</v>
      </c>
      <c r="BI140" s="95">
        <f>BE140*BI135</f>
        <v>0</v>
      </c>
      <c r="BJ140" s="95">
        <f t="shared" si="107"/>
        <v>0.88832721792063762</v>
      </c>
      <c r="BK140" s="65"/>
      <c r="BL140" s="65"/>
      <c r="BM140" s="358"/>
    </row>
    <row r="141" spans="1:65" outlineLevel="1" x14ac:dyDescent="0.25">
      <c r="A141" s="61"/>
      <c r="B141" s="272"/>
      <c r="C141" s="91"/>
      <c r="D141" s="418"/>
      <c r="E141" s="419"/>
      <c r="F141" s="94"/>
      <c r="G141" s="136" t="str">
        <f>IF(ISNUMBER(VLOOKUP(LEFT(D141,3),'Material editor'!$D$11:$H$110,'Material editor'!$E$8,0)),VLOOKUP(LEFT(D141,3),'Material editor'!$D$11:$H$110,'Material editor'!$E$8,0),"")</f>
        <v/>
      </c>
      <c r="H141" s="137" t="str">
        <f>IF(ISNUMBER(VLOOKUP(LEFT(D141,3),'Material editor'!$D$11:$H$110,'Material editor'!$F$8,0)),VLOOKUP(LEFT(D141,3),'Material editor'!$D$11:$H$110,'Material editor'!$F$8,0),"")</f>
        <v/>
      </c>
      <c r="I141" s="137" t="str">
        <f>IF(ISNUMBER(VLOOKUP(LEFT(D141,3),'Material editor'!$D$11:$H$110,'Material editor'!$G$8,0)),VLOOKUP(LEFT(D141,3),'Material editor'!$D$11:$H$110,'Material editor'!$G$8,0),"")</f>
        <v/>
      </c>
      <c r="J141" s="137" t="str">
        <f>IF(ISNUMBER(VLOOKUP(LEFT(D141,3),'Material editor'!$D$11:$H$110,'Material editor'!$H$8,0)),VLOOKUP(LEFT(D141,3),'Material editor'!$D$11:$H$110,'Material editor'!$H$8,0),"")</f>
        <v/>
      </c>
      <c r="K141" s="418"/>
      <c r="L141" s="407"/>
      <c r="M141" s="94"/>
      <c r="N141" s="136" t="str">
        <f>IF(ISNUMBER(VLOOKUP(LEFT(K141,3),'Material editor'!$D$11:$H$110,'Material editor'!$E$8,0)),VLOOKUP(LEFT(K141,3),'Material editor'!$D$11:$H$110,'Material editor'!$E$8,0),"")</f>
        <v/>
      </c>
      <c r="O141" s="137" t="str">
        <f>IF(ISNUMBER(VLOOKUP(LEFT(K141,3),'Material editor'!$D$11:$H$110,'Material editor'!$F$8,0)),VLOOKUP(LEFT(K141,3),'Material editor'!$D$11:$H$110,'Material editor'!$F$8,0),"")</f>
        <v/>
      </c>
      <c r="P141" s="137" t="str">
        <f>IF(ISNUMBER(VLOOKUP(LEFT(K141,3),'Material editor'!$D$11:$H$110,'Material editor'!$G$8,0)),VLOOKUP(LEFT(K141,3),'Material editor'!$D$11:$H$110,'Material editor'!$G$8,0),"")</f>
        <v/>
      </c>
      <c r="Q141" s="137" t="str">
        <f>IF(ISNUMBER(VLOOKUP(LEFT(K141,3),'Material editor'!$D$11:$H$110,'Material editor'!$H$8,0)),VLOOKUP(LEFT(K141,3),'Material editor'!$D$11:$H$110,'Material editor'!$H$8,0),"")</f>
        <v/>
      </c>
      <c r="R141" s="418"/>
      <c r="S141" s="407"/>
      <c r="T141" s="94"/>
      <c r="U141" s="136" t="str">
        <f>IF(ISNUMBER(VLOOKUP(LEFT(R141,3),'Material editor'!$D$11:$H$110,'Material editor'!$E$8,0)),VLOOKUP(LEFT(R141,3),'Material editor'!$D$11:$H$110,'Material editor'!$E$8,0),"")</f>
        <v/>
      </c>
      <c r="V141" s="137" t="str">
        <f>IF(ISNUMBER(VLOOKUP(LEFT(R141,3),'Material editor'!$D$11:$H$110,'Material editor'!$F$8,0)),VLOOKUP(LEFT(R141,3),'Material editor'!$D$11:$H$110,'Material editor'!$F$8,0),"")</f>
        <v/>
      </c>
      <c r="W141" s="137" t="str">
        <f>IF(ISNUMBER(VLOOKUP(LEFT(R141,3),'Material editor'!$D$11:$H$110,'Material editor'!$G$8,0)),VLOOKUP(LEFT(R141,3),'Material editor'!$D$11:$H$110,'Material editor'!$G$8,0),"")</f>
        <v/>
      </c>
      <c r="X141" s="137" t="str">
        <f>IF(ISNUMBER(VLOOKUP(LEFT(R141,3),'Material editor'!$D$11:$H$110,'Material editor'!$H$8,0)),VLOOKUP(LEFT(R141,3),'Material editor'!$D$11:$H$110,'Material editor'!$H$8,0),"")</f>
        <v/>
      </c>
      <c r="Y141" s="74"/>
      <c r="Z141" s="94"/>
      <c r="AA141" s="8"/>
      <c r="AB141" s="61"/>
      <c r="AC141" s="65"/>
      <c r="AD141" s="65"/>
      <c r="AE141" s="95">
        <f t="shared" si="98"/>
        <v>0</v>
      </c>
      <c r="AF141" s="95">
        <f t="shared" si="99"/>
        <v>0</v>
      </c>
      <c r="AG141" s="95">
        <f t="shared" si="100"/>
        <v>0</v>
      </c>
      <c r="AH141" s="65"/>
      <c r="AI141" s="95">
        <f t="shared" si="101"/>
        <v>0</v>
      </c>
      <c r="AJ141" s="95">
        <f t="shared" si="102"/>
        <v>0</v>
      </c>
      <c r="AK141" s="95">
        <f t="shared" si="103"/>
        <v>0</v>
      </c>
      <c r="AL141" s="65"/>
      <c r="AM141" s="96">
        <f t="shared" ref="AM141:AO141" si="110">AM140</f>
        <v>1</v>
      </c>
      <c r="AN141" s="96">
        <f t="shared" si="110"/>
        <v>0</v>
      </c>
      <c r="AO141" s="96">
        <f t="shared" si="110"/>
        <v>0</v>
      </c>
      <c r="AP141" s="65">
        <f t="shared" si="104"/>
        <v>0</v>
      </c>
      <c r="AQ141" s="65"/>
      <c r="AR141" s="65"/>
      <c r="AS141" s="65"/>
      <c r="AT141" s="95">
        <f>IF(ISNUMBER(H141),H141*F141*Z141/1000*Balance!$H$13/J141,0)</f>
        <v>0</v>
      </c>
      <c r="AU141" s="95">
        <f>IF(ISTEXT(K141),IF(ISNUMBER(O141),O141*M141*Z141/1000*Balance!$H$13/Q141,0),AT141)</f>
        <v>0</v>
      </c>
      <c r="AV141" s="95">
        <f>IF(ISTEXT(R141),IF(ISNUMBER(V141),V141*T141*Z141/1000*Balance!$H$13/X141,0),AT141)</f>
        <v>0</v>
      </c>
      <c r="AW141" s="65"/>
      <c r="AX141" s="95">
        <f>AT141*AX135</f>
        <v>0</v>
      </c>
      <c r="AY141" s="95">
        <f>AU141*AY135</f>
        <v>0</v>
      </c>
      <c r="AZ141" s="95">
        <f>AV141*AZ135</f>
        <v>0</v>
      </c>
      <c r="BA141" s="95">
        <f t="shared" si="106"/>
        <v>0</v>
      </c>
      <c r="BB141" s="65"/>
      <c r="BC141" s="95">
        <f>IF(ISNUMBER(I141),I141*F141*Z141/1000*Balance!$H$13/J141,0)</f>
        <v>0</v>
      </c>
      <c r="BD141" s="95">
        <f>IF(ISTEXT(K141),IF(ISNUMBER(P141),P141*M141*Z141/1000*Balance!$H$13/Q141,0),BC141)</f>
        <v>0</v>
      </c>
      <c r="BE141" s="95">
        <f>IF(ISTEXT(R141),IF(ISNUMBER(W141),W141*T141*Z141/1000*Balance!$H$13/X141,0),BC141)</f>
        <v>0</v>
      </c>
      <c r="BF141" s="65"/>
      <c r="BG141" s="95">
        <f>BC141*BG135</f>
        <v>0</v>
      </c>
      <c r="BH141" s="95">
        <f>BD141*BH135</f>
        <v>0</v>
      </c>
      <c r="BI141" s="95">
        <f>BE141*BI135</f>
        <v>0</v>
      </c>
      <c r="BJ141" s="95">
        <f t="shared" si="107"/>
        <v>0</v>
      </c>
      <c r="BK141" s="65"/>
      <c r="BL141" s="65"/>
      <c r="BM141" s="358"/>
    </row>
    <row r="142" spans="1:65" outlineLevel="1" x14ac:dyDescent="0.25">
      <c r="A142" s="61"/>
      <c r="B142" s="272"/>
      <c r="C142" s="91"/>
      <c r="D142" s="418"/>
      <c r="E142" s="419"/>
      <c r="F142" s="94"/>
      <c r="G142" s="136" t="str">
        <f>IF(ISNUMBER(VLOOKUP(LEFT(D142,3),'Material editor'!$D$11:$H$110,'Material editor'!$E$8,0)),VLOOKUP(LEFT(D142,3),'Material editor'!$D$11:$H$110,'Material editor'!$E$8,0),"")</f>
        <v/>
      </c>
      <c r="H142" s="137" t="str">
        <f>IF(ISNUMBER(VLOOKUP(LEFT(D142,3),'Material editor'!$D$11:$H$110,'Material editor'!$F$8,0)),VLOOKUP(LEFT(D142,3),'Material editor'!$D$11:$H$110,'Material editor'!$F$8,0),"")</f>
        <v/>
      </c>
      <c r="I142" s="137" t="str">
        <f>IF(ISNUMBER(VLOOKUP(LEFT(D142,3),'Material editor'!$D$11:$H$110,'Material editor'!$G$8,0)),VLOOKUP(LEFT(D142,3),'Material editor'!$D$11:$H$110,'Material editor'!$G$8,0),"")</f>
        <v/>
      </c>
      <c r="J142" s="137" t="str">
        <f>IF(ISNUMBER(VLOOKUP(LEFT(D142,3),'Material editor'!$D$11:$H$110,'Material editor'!$H$8,0)),VLOOKUP(LEFT(D142,3),'Material editor'!$D$11:$H$110,'Material editor'!$H$8,0),"")</f>
        <v/>
      </c>
      <c r="K142" s="418"/>
      <c r="L142" s="407"/>
      <c r="M142" s="94"/>
      <c r="N142" s="136" t="str">
        <f>IF(ISNUMBER(VLOOKUP(LEFT(K142,3),'Material editor'!$D$11:$H$110,'Material editor'!$E$8,0)),VLOOKUP(LEFT(K142,3),'Material editor'!$D$11:$H$110,'Material editor'!$E$8,0),"")</f>
        <v/>
      </c>
      <c r="O142" s="137" t="str">
        <f>IF(ISNUMBER(VLOOKUP(LEFT(K142,3),'Material editor'!$D$11:$H$110,'Material editor'!$F$8,0)),VLOOKUP(LEFT(K142,3),'Material editor'!$D$11:$H$110,'Material editor'!$F$8,0),"")</f>
        <v/>
      </c>
      <c r="P142" s="137" t="str">
        <f>IF(ISNUMBER(VLOOKUP(LEFT(K142,3),'Material editor'!$D$11:$H$110,'Material editor'!$G$8,0)),VLOOKUP(LEFT(K142,3),'Material editor'!$D$11:$H$110,'Material editor'!$G$8,0),"")</f>
        <v/>
      </c>
      <c r="Q142" s="137" t="str">
        <f>IF(ISNUMBER(VLOOKUP(LEFT(K142,3),'Material editor'!$D$11:$H$110,'Material editor'!$H$8,0)),VLOOKUP(LEFT(K142,3),'Material editor'!$D$11:$H$110,'Material editor'!$H$8,0),"")</f>
        <v/>
      </c>
      <c r="R142" s="418"/>
      <c r="S142" s="407"/>
      <c r="T142" s="94"/>
      <c r="U142" s="136" t="str">
        <f>IF(ISNUMBER(VLOOKUP(LEFT(R142,3),'Material editor'!$D$11:$H$110,'Material editor'!$E$8,0)),VLOOKUP(LEFT(R142,3),'Material editor'!$D$11:$H$110,'Material editor'!$E$8,0),"")</f>
        <v/>
      </c>
      <c r="V142" s="137" t="str">
        <f>IF(ISNUMBER(VLOOKUP(LEFT(R142,3),'Material editor'!$D$11:$H$110,'Material editor'!$F$8,0)),VLOOKUP(LEFT(R142,3),'Material editor'!$D$11:$H$110,'Material editor'!$F$8,0),"")</f>
        <v/>
      </c>
      <c r="W142" s="137" t="str">
        <f>IF(ISNUMBER(VLOOKUP(LEFT(R142,3),'Material editor'!$D$11:$H$110,'Material editor'!$G$8,0)),VLOOKUP(LEFT(R142,3),'Material editor'!$D$11:$H$110,'Material editor'!$G$8,0),"")</f>
        <v/>
      </c>
      <c r="X142" s="137" t="str">
        <f>IF(ISNUMBER(VLOOKUP(LEFT(R142,3),'Material editor'!$D$11:$H$110,'Material editor'!$H$8,0)),VLOOKUP(LEFT(R142,3),'Material editor'!$D$11:$H$110,'Material editor'!$H$8,0),"")</f>
        <v/>
      </c>
      <c r="Y142" s="74"/>
      <c r="Z142" s="94"/>
      <c r="AA142" s="8"/>
      <c r="AB142" s="61"/>
      <c r="AC142" s="65"/>
      <c r="AD142" s="65"/>
      <c r="AE142" s="95">
        <f t="shared" si="98"/>
        <v>0</v>
      </c>
      <c r="AF142" s="95">
        <f t="shared" si="99"/>
        <v>0</v>
      </c>
      <c r="AG142" s="95">
        <f t="shared" si="100"/>
        <v>0</v>
      </c>
      <c r="AH142" s="65"/>
      <c r="AI142" s="95">
        <f t="shared" si="101"/>
        <v>0</v>
      </c>
      <c r="AJ142" s="95">
        <f t="shared" si="102"/>
        <v>0</v>
      </c>
      <c r="AK142" s="95">
        <f t="shared" si="103"/>
        <v>0</v>
      </c>
      <c r="AL142" s="65"/>
      <c r="AM142" s="96">
        <f t="shared" ref="AM142:AO142" si="111">AM141</f>
        <v>1</v>
      </c>
      <c r="AN142" s="96">
        <f t="shared" si="111"/>
        <v>0</v>
      </c>
      <c r="AO142" s="96">
        <f t="shared" si="111"/>
        <v>0</v>
      </c>
      <c r="AP142" s="65">
        <f t="shared" si="104"/>
        <v>0</v>
      </c>
      <c r="AQ142" s="65"/>
      <c r="AR142" s="65"/>
      <c r="AS142" s="66"/>
      <c r="AT142" s="95">
        <f>IF(ISNUMBER(H142),H142*F142*Z142/1000*Balance!$H$13/J142,0)</f>
        <v>0</v>
      </c>
      <c r="AU142" s="95">
        <f>IF(ISTEXT(K142),IF(ISNUMBER(O142),O142*M142*Z142/1000*Balance!$H$13/Q142,0),AT142)</f>
        <v>0</v>
      </c>
      <c r="AV142" s="95">
        <f>IF(ISTEXT(R142),IF(ISNUMBER(V142),V142*T142*Z142/1000*Balance!$H$13/X142,0),AT142)</f>
        <v>0</v>
      </c>
      <c r="AW142" s="66"/>
      <c r="AX142" s="95">
        <f>AT142*AX135</f>
        <v>0</v>
      </c>
      <c r="AY142" s="95">
        <f>AU142*AY135</f>
        <v>0</v>
      </c>
      <c r="AZ142" s="95">
        <f>AV142*AZ135</f>
        <v>0</v>
      </c>
      <c r="BA142" s="95">
        <f t="shared" si="106"/>
        <v>0</v>
      </c>
      <c r="BB142" s="66"/>
      <c r="BC142" s="95">
        <f>IF(ISNUMBER(I142),I142*F142*Z142/1000*Balance!$H$13/J142,0)</f>
        <v>0</v>
      </c>
      <c r="BD142" s="95">
        <f>IF(ISTEXT(K142),IF(ISNUMBER(P142),P142*M142*Z142/1000*Balance!$H$13/Q142,0),BC142)</f>
        <v>0</v>
      </c>
      <c r="BE142" s="95">
        <f>IF(ISTEXT(R142),IF(ISNUMBER(W142),W142*T142*Z142/1000*Balance!$H$13/X142,0),BC142)</f>
        <v>0</v>
      </c>
      <c r="BF142" s="66"/>
      <c r="BG142" s="95">
        <f>BC142*BG135</f>
        <v>0</v>
      </c>
      <c r="BH142" s="95">
        <f>BD142*BH135</f>
        <v>0</v>
      </c>
      <c r="BI142" s="95">
        <f>BE142*BI135</f>
        <v>0</v>
      </c>
      <c r="BJ142" s="95">
        <f t="shared" si="107"/>
        <v>0</v>
      </c>
      <c r="BK142" s="66"/>
      <c r="BL142" s="66"/>
      <c r="BM142" s="358"/>
    </row>
    <row r="143" spans="1:65" outlineLevel="1" x14ac:dyDescent="0.25">
      <c r="A143" s="61"/>
      <c r="B143" s="272"/>
      <c r="C143" s="91"/>
      <c r="D143" s="418"/>
      <c r="E143" s="419"/>
      <c r="F143" s="94"/>
      <c r="G143" s="136" t="str">
        <f>IF(ISNUMBER(VLOOKUP(LEFT(D143,3),'Material editor'!$D$11:$H$110,'Material editor'!$E$8,0)),VLOOKUP(LEFT(D143,3),'Material editor'!$D$11:$H$110,'Material editor'!$E$8,0),"")</f>
        <v/>
      </c>
      <c r="H143" s="137" t="str">
        <f>IF(ISNUMBER(VLOOKUP(LEFT(D143,3),'Material editor'!$D$11:$H$110,'Material editor'!$F$8,0)),VLOOKUP(LEFT(D143,3),'Material editor'!$D$11:$H$110,'Material editor'!$F$8,0),"")</f>
        <v/>
      </c>
      <c r="I143" s="137" t="str">
        <f>IF(ISNUMBER(VLOOKUP(LEFT(D143,3),'Material editor'!$D$11:$H$110,'Material editor'!$G$8,0)),VLOOKUP(LEFT(D143,3),'Material editor'!$D$11:$H$110,'Material editor'!$G$8,0),"")</f>
        <v/>
      </c>
      <c r="J143" s="137" t="str">
        <f>IF(ISNUMBER(VLOOKUP(LEFT(D143,3),'Material editor'!$D$11:$H$110,'Material editor'!$H$8,0)),VLOOKUP(LEFT(D143,3),'Material editor'!$D$11:$H$110,'Material editor'!$H$8,0),"")</f>
        <v/>
      </c>
      <c r="K143" s="418"/>
      <c r="L143" s="407"/>
      <c r="M143" s="94"/>
      <c r="N143" s="136" t="str">
        <f>IF(ISNUMBER(VLOOKUP(LEFT(K143,3),'Material editor'!$D$11:$H$110,'Material editor'!$E$8,0)),VLOOKUP(LEFT(K143,3),'Material editor'!$D$11:$H$110,'Material editor'!$E$8,0),"")</f>
        <v/>
      </c>
      <c r="O143" s="137" t="str">
        <f>IF(ISNUMBER(VLOOKUP(LEFT(K143,3),'Material editor'!$D$11:$H$110,'Material editor'!$F$8,0)),VLOOKUP(LEFT(K143,3),'Material editor'!$D$11:$H$110,'Material editor'!$F$8,0),"")</f>
        <v/>
      </c>
      <c r="P143" s="137" t="str">
        <f>IF(ISNUMBER(VLOOKUP(LEFT(K143,3),'Material editor'!$D$11:$H$110,'Material editor'!$G$8,0)),VLOOKUP(LEFT(K143,3),'Material editor'!$D$11:$H$110,'Material editor'!$G$8,0),"")</f>
        <v/>
      </c>
      <c r="Q143" s="137" t="str">
        <f>IF(ISNUMBER(VLOOKUP(LEFT(K143,3),'Material editor'!$D$11:$H$110,'Material editor'!$H$8,0)),VLOOKUP(LEFT(K143,3),'Material editor'!$D$11:$H$110,'Material editor'!$H$8,0),"")</f>
        <v/>
      </c>
      <c r="R143" s="418"/>
      <c r="S143" s="407"/>
      <c r="T143" s="94"/>
      <c r="U143" s="136" t="str">
        <f>IF(ISNUMBER(VLOOKUP(LEFT(R143,3),'Material editor'!$D$11:$H$110,'Material editor'!$E$8,0)),VLOOKUP(LEFT(R143,3),'Material editor'!$D$11:$H$110,'Material editor'!$E$8,0),"")</f>
        <v/>
      </c>
      <c r="V143" s="137" t="str">
        <f>IF(ISNUMBER(VLOOKUP(LEFT(R143,3),'Material editor'!$D$11:$H$110,'Material editor'!$F$8,0)),VLOOKUP(LEFT(R143,3),'Material editor'!$D$11:$H$110,'Material editor'!$F$8,0),"")</f>
        <v/>
      </c>
      <c r="W143" s="137" t="str">
        <f>IF(ISNUMBER(VLOOKUP(LEFT(R143,3),'Material editor'!$D$11:$H$110,'Material editor'!$G$8,0)),VLOOKUP(LEFT(R143,3),'Material editor'!$D$11:$H$110,'Material editor'!$G$8,0),"")</f>
        <v/>
      </c>
      <c r="X143" s="137" t="str">
        <f>IF(ISNUMBER(VLOOKUP(LEFT(R143,3),'Material editor'!$D$11:$H$110,'Material editor'!$H$8,0)),VLOOKUP(LEFT(R143,3),'Material editor'!$D$11:$H$110,'Material editor'!$H$8,0),"")</f>
        <v/>
      </c>
      <c r="Y143" s="74"/>
      <c r="Z143" s="94"/>
      <c r="AA143" s="8"/>
      <c r="AB143" s="61"/>
      <c r="AC143" s="65"/>
      <c r="AD143" s="65"/>
      <c r="AE143" s="95">
        <f t="shared" si="98"/>
        <v>0</v>
      </c>
      <c r="AF143" s="95">
        <f t="shared" si="99"/>
        <v>0</v>
      </c>
      <c r="AG143" s="95">
        <f t="shared" si="100"/>
        <v>0</v>
      </c>
      <c r="AH143" s="65"/>
      <c r="AI143" s="95">
        <f t="shared" si="101"/>
        <v>0</v>
      </c>
      <c r="AJ143" s="95">
        <f t="shared" si="102"/>
        <v>0</v>
      </c>
      <c r="AK143" s="95">
        <f t="shared" si="103"/>
        <v>0</v>
      </c>
      <c r="AL143" s="65"/>
      <c r="AM143" s="96">
        <f t="shared" ref="AM143:AO143" si="112">AM142</f>
        <v>1</v>
      </c>
      <c r="AN143" s="96">
        <f t="shared" si="112"/>
        <v>0</v>
      </c>
      <c r="AO143" s="96">
        <f t="shared" si="112"/>
        <v>0</v>
      </c>
      <c r="AP143" s="65">
        <f t="shared" si="104"/>
        <v>0</v>
      </c>
      <c r="AQ143" s="65"/>
      <c r="AR143" s="65"/>
      <c r="AS143" s="66"/>
      <c r="AT143" s="95">
        <f>IF(ISNUMBER(H143),H143*F143*Z143/1000*Balance!$H$13/J143,0)</f>
        <v>0</v>
      </c>
      <c r="AU143" s="95">
        <f>IF(ISTEXT(K143),IF(ISNUMBER(O143),O143*M143*Z143/1000*Balance!$H$13/Q143,0),AT143)</f>
        <v>0</v>
      </c>
      <c r="AV143" s="95">
        <f>IF(ISTEXT(R143),IF(ISNUMBER(V143),V143*T143*Z143/1000*Balance!$H$13/X143,0),AT143)</f>
        <v>0</v>
      </c>
      <c r="AW143" s="66"/>
      <c r="AX143" s="95">
        <f>AT143*AX135</f>
        <v>0</v>
      </c>
      <c r="AY143" s="95">
        <f>AU143*AY135</f>
        <v>0</v>
      </c>
      <c r="AZ143" s="95">
        <f>AV143*AZ135</f>
        <v>0</v>
      </c>
      <c r="BA143" s="95">
        <f t="shared" si="106"/>
        <v>0</v>
      </c>
      <c r="BB143" s="66"/>
      <c r="BC143" s="95">
        <f>IF(ISNUMBER(I143),I143*F143*Z143/1000*Balance!$H$13/J143,0)</f>
        <v>0</v>
      </c>
      <c r="BD143" s="95">
        <f>IF(ISTEXT(K143),IF(ISNUMBER(P143),P143*M143*Z143/1000*Balance!$H$13/Q143,0),BC143)</f>
        <v>0</v>
      </c>
      <c r="BE143" s="95">
        <f>IF(ISTEXT(R143),IF(ISNUMBER(W143),W143*T143*Z143/1000*Balance!$H$13/X143,0),BC143)</f>
        <v>0</v>
      </c>
      <c r="BF143" s="66"/>
      <c r="BG143" s="95">
        <f>BC143*BG135</f>
        <v>0</v>
      </c>
      <c r="BH143" s="95">
        <f>BD143*BH135</f>
        <v>0</v>
      </c>
      <c r="BI143" s="95">
        <f>BE143*BI135</f>
        <v>0</v>
      </c>
      <c r="BJ143" s="95">
        <f t="shared" si="107"/>
        <v>0</v>
      </c>
      <c r="BK143" s="66"/>
      <c r="BL143" s="66"/>
      <c r="BM143" s="358"/>
    </row>
    <row r="144" spans="1:65" outlineLevel="1" x14ac:dyDescent="0.25">
      <c r="A144" s="61"/>
      <c r="B144" s="272"/>
      <c r="C144" s="91"/>
      <c r="D144" s="423"/>
      <c r="E144" s="424"/>
      <c r="F144" s="94"/>
      <c r="G144" s="136" t="str">
        <f>IF(ISNUMBER(VLOOKUP(LEFT(D144,3),'Material editor'!$D$11:$H$110,'Material editor'!$E$8,0)),VLOOKUP(LEFT(D144,3),'Material editor'!$D$11:$H$110,'Material editor'!$E$8,0),"")</f>
        <v/>
      </c>
      <c r="H144" s="137" t="str">
        <f>IF(ISNUMBER(VLOOKUP(LEFT(D144,3),'Material editor'!$D$11:$H$110,'Material editor'!$F$8,0)),VLOOKUP(LEFT(D144,3),'Material editor'!$D$11:$H$110,'Material editor'!$F$8,0),"")</f>
        <v/>
      </c>
      <c r="I144" s="137" t="str">
        <f>IF(ISNUMBER(VLOOKUP(LEFT(D144,3),'Material editor'!$D$11:$H$110,'Material editor'!$G$8,0)),VLOOKUP(LEFT(D144,3),'Material editor'!$D$11:$H$110,'Material editor'!$G$8,0),"")</f>
        <v/>
      </c>
      <c r="J144" s="137" t="str">
        <f>IF(ISNUMBER(VLOOKUP(LEFT(D144,3),'Material editor'!$D$11:$H$110,'Material editor'!$H$8,0)),VLOOKUP(LEFT(D144,3),'Material editor'!$D$11:$H$110,'Material editor'!$H$8,0),"")</f>
        <v/>
      </c>
      <c r="K144" s="418"/>
      <c r="L144" s="407"/>
      <c r="M144" s="94"/>
      <c r="N144" s="136" t="str">
        <f>IF(ISNUMBER(VLOOKUP(LEFT(K144,3),'Material editor'!$D$11:$H$110,'Material editor'!$E$8,0)),VLOOKUP(LEFT(K144,3),'Material editor'!$D$11:$H$110,'Material editor'!$E$8,0),"")</f>
        <v/>
      </c>
      <c r="O144" s="137" t="str">
        <f>IF(ISNUMBER(VLOOKUP(LEFT(K144,3),'Material editor'!$D$11:$H$110,'Material editor'!$F$8,0)),VLOOKUP(LEFT(K144,3),'Material editor'!$D$11:$H$110,'Material editor'!$F$8,0),"")</f>
        <v/>
      </c>
      <c r="P144" s="137" t="str">
        <f>IF(ISNUMBER(VLOOKUP(LEFT(K144,3),'Material editor'!$D$11:$H$110,'Material editor'!$G$8,0)),VLOOKUP(LEFT(K144,3),'Material editor'!$D$11:$H$110,'Material editor'!$G$8,0),"")</f>
        <v/>
      </c>
      <c r="Q144" s="137" t="str">
        <f>IF(ISNUMBER(VLOOKUP(LEFT(K144,3),'Material editor'!$D$11:$H$110,'Material editor'!$H$8,0)),VLOOKUP(LEFT(K144,3),'Material editor'!$D$11:$H$110,'Material editor'!$H$8,0),"")</f>
        <v/>
      </c>
      <c r="R144" s="418"/>
      <c r="S144" s="407"/>
      <c r="T144" s="94"/>
      <c r="U144" s="136" t="str">
        <f>IF(ISNUMBER(VLOOKUP(LEFT(R144,3),'Material editor'!$D$11:$H$110,'Material editor'!$E$8,0)),VLOOKUP(LEFT(R144,3),'Material editor'!$D$11:$H$110,'Material editor'!$E$8,0),"")</f>
        <v/>
      </c>
      <c r="V144" s="137" t="str">
        <f>IF(ISNUMBER(VLOOKUP(LEFT(R144,3),'Material editor'!$D$11:$H$110,'Material editor'!$F$8,0)),VLOOKUP(LEFT(R144,3),'Material editor'!$D$11:$H$110,'Material editor'!$F$8,0),"")</f>
        <v/>
      </c>
      <c r="W144" s="137" t="str">
        <f>IF(ISNUMBER(VLOOKUP(LEFT(R144,3),'Material editor'!$D$11:$H$110,'Material editor'!$G$8,0)),VLOOKUP(LEFT(R144,3),'Material editor'!$D$11:$H$110,'Material editor'!$G$8,0),"")</f>
        <v/>
      </c>
      <c r="X144" s="137" t="str">
        <f>IF(ISNUMBER(VLOOKUP(LEFT(R144,3),'Material editor'!$D$11:$H$110,'Material editor'!$H$8,0)),VLOOKUP(LEFT(R144,3),'Material editor'!$D$11:$H$110,'Material editor'!$H$8,0),"")</f>
        <v/>
      </c>
      <c r="Y144" s="74"/>
      <c r="Z144" s="94"/>
      <c r="AA144" s="8"/>
      <c r="AB144" s="61"/>
      <c r="AC144" s="65"/>
      <c r="AD144" s="65"/>
      <c r="AE144" s="95">
        <f t="shared" si="98"/>
        <v>0</v>
      </c>
      <c r="AF144" s="95">
        <f t="shared" si="99"/>
        <v>0</v>
      </c>
      <c r="AG144" s="95">
        <f t="shared" si="100"/>
        <v>0</v>
      </c>
      <c r="AH144" s="65"/>
      <c r="AI144" s="95">
        <f>IF(ISNUMBER(G144),G144,0)</f>
        <v>0</v>
      </c>
      <c r="AJ144" s="95">
        <f t="shared" si="102"/>
        <v>0</v>
      </c>
      <c r="AK144" s="95">
        <f t="shared" si="103"/>
        <v>0</v>
      </c>
      <c r="AL144" s="65"/>
      <c r="AM144" s="96">
        <f t="shared" ref="AM144:AO144" si="113">AM143</f>
        <v>1</v>
      </c>
      <c r="AN144" s="96">
        <f t="shared" si="113"/>
        <v>0</v>
      </c>
      <c r="AO144" s="96">
        <f t="shared" si="113"/>
        <v>0</v>
      </c>
      <c r="AP144" s="65">
        <f t="shared" si="104"/>
        <v>0</v>
      </c>
      <c r="AQ144" s="65"/>
      <c r="AR144" s="65"/>
      <c r="AS144" s="66"/>
      <c r="AT144" s="95">
        <f>IF(ISNUMBER(H144),H144*F144*Z144/1000*Balance!$H$13/J144,0)</f>
        <v>0</v>
      </c>
      <c r="AU144" s="95">
        <f>IF(ISTEXT(K144),IF(ISNUMBER(O144),O144*M144*Z144/1000*Balance!$H$13/Q144,0),AT144)</f>
        <v>0</v>
      </c>
      <c r="AV144" s="95">
        <f>IF(ISTEXT(R144),IF(ISNUMBER(V144),V144*T144*Z144/1000*Balance!$H$13/X144,0),AT144)</f>
        <v>0</v>
      </c>
      <c r="AW144" s="66"/>
      <c r="AX144" s="95">
        <f>AT144*AX135</f>
        <v>0</v>
      </c>
      <c r="AY144" s="95">
        <f>AU144*AY135</f>
        <v>0</v>
      </c>
      <c r="AZ144" s="95">
        <f>AV144*AZ135</f>
        <v>0</v>
      </c>
      <c r="BA144" s="95">
        <f t="shared" si="106"/>
        <v>0</v>
      </c>
      <c r="BB144" s="66"/>
      <c r="BC144" s="95">
        <f>IF(ISNUMBER(I144),I144*F144*Z144/1000*Balance!$H$13/J144,0)</f>
        <v>0</v>
      </c>
      <c r="BD144" s="95">
        <f>IF(ISTEXT(K144),IF(ISNUMBER(P144),P144*M144*Z144/1000*Balance!$H$13/Q144,0),BC144)</f>
        <v>0</v>
      </c>
      <c r="BE144" s="95">
        <f>IF(ISTEXT(R144),IF(ISNUMBER(W144),W144*T144*Z144/1000*Balance!$H$13/X144,0),BC144)</f>
        <v>0</v>
      </c>
      <c r="BF144" s="66"/>
      <c r="BG144" s="95">
        <f>BC144*BG135</f>
        <v>0</v>
      </c>
      <c r="BH144" s="95">
        <f>BD144*BH135</f>
        <v>0</v>
      </c>
      <c r="BI144" s="95">
        <f>BE144*BI135</f>
        <v>0</v>
      </c>
      <c r="BJ144" s="95">
        <f t="shared" si="107"/>
        <v>0</v>
      </c>
      <c r="BK144" s="66"/>
      <c r="BL144" s="66"/>
      <c r="BM144" s="358"/>
    </row>
    <row r="145" spans="1:65" outlineLevel="1" x14ac:dyDescent="0.25">
      <c r="A145" s="61"/>
      <c r="B145" s="272"/>
      <c r="C145" s="77"/>
      <c r="D145" s="359">
        <f>MAX(0,1-K145-R145)</f>
        <v>1</v>
      </c>
      <c r="E145" s="126" t="s">
        <v>141</v>
      </c>
      <c r="F145" s="126"/>
      <c r="H145" s="97"/>
      <c r="I145" s="97"/>
      <c r="J145" s="97"/>
      <c r="K145" s="100"/>
      <c r="L145" s="126" t="s">
        <v>138</v>
      </c>
      <c r="M145" s="126"/>
      <c r="R145" s="100"/>
      <c r="S145" s="126" t="s">
        <v>139</v>
      </c>
      <c r="T145" s="126"/>
      <c r="V145" s="67"/>
      <c r="Y145" s="74"/>
      <c r="Z145" s="5" t="s">
        <v>140</v>
      </c>
      <c r="AA145" s="8"/>
      <c r="AB145" s="61"/>
      <c r="AC145" s="98"/>
      <c r="AD145" s="98" t="s">
        <v>124</v>
      </c>
      <c r="AE145" s="99">
        <f>IF(ISNUMBER($G137),1/($D132+SUM(AE137:AE144)+$D133),0)</f>
        <v>0.27340338390934299</v>
      </c>
      <c r="AF145" s="99">
        <f>IF(ISNUMBER($G137),1/($D132+SUM(AF137:AF144)+$D133),0)</f>
        <v>0.27340338390934299</v>
      </c>
      <c r="AG145" s="99">
        <f>IF(ISNUMBER($G137),1/($D132+SUM(AG137:AG144)+$D133),0)</f>
        <v>0.27340338390934299</v>
      </c>
      <c r="AH145" s="65"/>
      <c r="AI145" s="65"/>
      <c r="AJ145" s="65"/>
      <c r="AK145" s="65"/>
      <c r="AL145" s="65"/>
      <c r="AM145" s="65"/>
      <c r="AN145" s="65"/>
      <c r="AO145" s="65"/>
      <c r="AP145" s="65"/>
      <c r="AQ145" s="65"/>
      <c r="AR145" s="65"/>
      <c r="AS145" s="66"/>
      <c r="AT145" s="66"/>
      <c r="AU145" s="66"/>
      <c r="AV145" s="66"/>
      <c r="AW145" s="66"/>
      <c r="AX145" s="66"/>
      <c r="AY145" s="66"/>
      <c r="AZ145" s="66"/>
      <c r="BA145" s="66"/>
      <c r="BB145" s="66"/>
      <c r="BC145" s="66"/>
      <c r="BD145" s="66"/>
      <c r="BE145" s="66"/>
      <c r="BF145" s="66"/>
      <c r="BG145" s="66"/>
      <c r="BH145" s="66"/>
      <c r="BI145" s="66"/>
      <c r="BJ145" s="66"/>
      <c r="BK145" s="66"/>
      <c r="BL145" s="66"/>
      <c r="BM145" s="358"/>
    </row>
    <row r="146" spans="1:65" outlineLevel="1" x14ac:dyDescent="0.25">
      <c r="A146" s="61"/>
      <c r="B146" s="272"/>
      <c r="C146" s="77"/>
      <c r="D146" s="41"/>
      <c r="E146" s="116" t="s">
        <v>150</v>
      </c>
      <c r="F146" s="116"/>
      <c r="H146" s="68"/>
      <c r="I146" s="68"/>
      <c r="J146" s="68"/>
      <c r="K146" s="157" t="str">
        <f>IF(AE152&lt;=0.1,"","Der Fehler der U-Wert-Berechnung liegt möglicherweise über 10 %. Wärmebrückenberechnung?")</f>
        <v/>
      </c>
      <c r="L146" s="68"/>
      <c r="M146" s="68"/>
      <c r="N146" s="68"/>
      <c r="R146" s="5"/>
      <c r="S146" s="5"/>
      <c r="T146" s="5"/>
      <c r="U146" s="68"/>
      <c r="V146" s="68"/>
      <c r="X146" s="68"/>
      <c r="Y146" s="5"/>
      <c r="Z146" s="189">
        <f>IF(ISNUMBER(Z137),SUM(Z137:Z145)/10,"")</f>
        <v>27.5</v>
      </c>
      <c r="AA146" s="10" t="s">
        <v>8</v>
      </c>
      <c r="AB146" s="61"/>
      <c r="AC146" s="98"/>
      <c r="AD146" s="98" t="s">
        <v>125</v>
      </c>
      <c r="AE146" s="101">
        <f>1-SUM(AF146:AG146)</f>
        <v>1</v>
      </c>
      <c r="AF146" s="102">
        <f>K145</f>
        <v>0</v>
      </c>
      <c r="AG146" s="102">
        <f>R145</f>
        <v>0</v>
      </c>
      <c r="AH146" s="98"/>
      <c r="AI146" s="65"/>
      <c r="AJ146" s="65"/>
      <c r="AK146" s="65"/>
      <c r="AL146" s="65"/>
      <c r="AM146" s="65"/>
      <c r="AN146" s="65"/>
      <c r="AO146" s="65"/>
      <c r="AP146" s="65"/>
      <c r="AQ146" s="65"/>
      <c r="AR146" s="65" t="s">
        <v>393</v>
      </c>
      <c r="AS146" s="148"/>
      <c r="AT146" s="175" t="s">
        <v>393</v>
      </c>
      <c r="AU146" s="65" t="s">
        <v>366</v>
      </c>
      <c r="AV146" s="65" t="s">
        <v>355</v>
      </c>
      <c r="AW146" s="66"/>
      <c r="AX146" s="65" t="s">
        <v>394</v>
      </c>
      <c r="AY146" s="65" t="s">
        <v>356</v>
      </c>
      <c r="AZ146" s="66"/>
      <c r="BA146" s="66"/>
      <c r="BB146" s="66"/>
      <c r="BC146" s="66"/>
      <c r="BD146" s="66"/>
      <c r="BE146" s="66"/>
      <c r="BF146" s="66"/>
      <c r="BG146" s="66"/>
      <c r="BH146" s="66"/>
      <c r="BI146" s="66"/>
      <c r="BJ146" s="66"/>
      <c r="BK146" s="66"/>
      <c r="BL146" s="66"/>
      <c r="BM146" s="358"/>
    </row>
    <row r="147" spans="1:65" outlineLevel="1" x14ac:dyDescent="0.25">
      <c r="A147" s="61"/>
      <c r="B147" s="272"/>
      <c r="C147" s="77"/>
      <c r="D147" s="68"/>
      <c r="E147" s="68"/>
      <c r="F147" s="68"/>
      <c r="G147" s="68"/>
      <c r="H147" s="68"/>
      <c r="I147" s="68"/>
      <c r="J147" s="68"/>
      <c r="K147" s="68"/>
      <c r="L147" s="68"/>
      <c r="M147" s="68"/>
      <c r="N147" s="68"/>
      <c r="O147" s="68"/>
      <c r="P147" s="68"/>
      <c r="Q147" s="68"/>
      <c r="R147" s="68"/>
      <c r="T147" s="68"/>
      <c r="U147" s="68"/>
      <c r="V147" s="68"/>
      <c r="W147" s="68"/>
      <c r="X147" s="68"/>
      <c r="Y147" s="5"/>
      <c r="Z147" s="67"/>
      <c r="AA147" s="8"/>
      <c r="AB147" s="61"/>
      <c r="AC147" s="101"/>
      <c r="AD147" s="101"/>
      <c r="AE147" s="99"/>
      <c r="AF147" s="99"/>
      <c r="AG147" s="99"/>
      <c r="AH147" s="65"/>
      <c r="AI147" s="65"/>
      <c r="AJ147" s="65"/>
      <c r="AK147" s="65"/>
      <c r="AL147" s="65"/>
      <c r="AM147" s="65"/>
      <c r="AN147" s="65"/>
      <c r="AO147" s="65"/>
      <c r="AP147" s="65"/>
      <c r="AQ147" s="65"/>
      <c r="AR147" s="65"/>
      <c r="AS147" s="65"/>
      <c r="AT147" s="101" t="s">
        <v>367</v>
      </c>
      <c r="AU147" s="176">
        <f>Z148*F132*Balance!$H$6</f>
        <v>0</v>
      </c>
      <c r="AV147" s="176">
        <f>AU147*Balance!$H$13</f>
        <v>0</v>
      </c>
      <c r="AW147" s="66"/>
      <c r="AX147" s="66"/>
      <c r="AY147" s="66"/>
      <c r="AZ147" s="66"/>
      <c r="BA147" s="101" t="s">
        <v>351</v>
      </c>
      <c r="BB147" s="66"/>
      <c r="BC147" s="66"/>
      <c r="BD147" s="66"/>
      <c r="BE147" s="66"/>
      <c r="BF147" s="66"/>
      <c r="BG147" s="66"/>
      <c r="BH147" s="66"/>
      <c r="BI147" s="66"/>
      <c r="BJ147" s="66"/>
      <c r="BK147" s="66"/>
      <c r="BL147" s="66"/>
      <c r="BM147" s="358"/>
    </row>
    <row r="148" spans="1:65" ht="18" outlineLevel="1" x14ac:dyDescent="0.35">
      <c r="A148" s="61"/>
      <c r="B148" s="272"/>
      <c r="C148" s="77"/>
      <c r="H148" s="68"/>
      <c r="I148" s="68"/>
      <c r="J148" s="67"/>
      <c r="K148" s="192" t="s">
        <v>397</v>
      </c>
      <c r="L148" s="67"/>
      <c r="M148" s="67"/>
      <c r="N148" s="67"/>
      <c r="O148" s="67"/>
      <c r="P148" s="67"/>
      <c r="Q148" s="67"/>
      <c r="R148" s="14" t="s">
        <v>398</v>
      </c>
      <c r="U148" s="68"/>
      <c r="V148" s="68"/>
      <c r="W148" s="68"/>
      <c r="X148" s="68"/>
      <c r="Y148" s="127" t="s">
        <v>154</v>
      </c>
      <c r="Z148" s="193">
        <f>IF(ISNUMBER(G137),IF(AE152&lt;0.1,1/AE148,1/(AP148*1.1))+D146,"")</f>
        <v>0.27340338390934299</v>
      </c>
      <c r="AA148" s="8" t="s">
        <v>10</v>
      </c>
      <c r="AB148" s="61"/>
      <c r="AC148" s="101"/>
      <c r="AD148" s="101" t="s">
        <v>126</v>
      </c>
      <c r="AE148" s="95">
        <f>IF(ISNUMBER(G137),AVERAGE(AG148,AP148),0)</f>
        <v>3.6575992063492055</v>
      </c>
      <c r="AF148" s="101" t="s">
        <v>127</v>
      </c>
      <c r="AG148" s="95">
        <f>IF(ISNUMBER(G137),1/SUMPRODUCT(AE146:AG146,AE145:AG145),0)</f>
        <v>3.6575992063492051</v>
      </c>
      <c r="AH148" s="65"/>
      <c r="AI148" s="65"/>
      <c r="AJ148" s="65"/>
      <c r="AK148" s="65"/>
      <c r="AL148" s="103"/>
      <c r="AM148" s="65"/>
      <c r="AN148" s="65"/>
      <c r="AO148" s="101" t="s">
        <v>128</v>
      </c>
      <c r="AP148" s="95">
        <f>$D132+SUM(AP137:AP144)+$D133</f>
        <v>3.6575992063492055</v>
      </c>
      <c r="AQ148" s="65"/>
      <c r="AR148" s="65"/>
      <c r="AS148" s="152" t="str">
        <f>Data!$D$4</f>
        <v>Heat pump</v>
      </c>
      <c r="AT148" s="177" t="s">
        <v>374</v>
      </c>
      <c r="AU148" s="179">
        <f>AU147/(Balance!$H$17*Balance!$H$18*Balance!$H$19)*Balance!$H$22</f>
        <v>0</v>
      </c>
      <c r="AV148" s="176">
        <f>AU148*Balance!$H$13</f>
        <v>0</v>
      </c>
      <c r="AW148" s="66"/>
      <c r="AX148" s="186">
        <f ca="1">AU147/(Balance!$H$17*Balance!$H$18*Balance!$H$19)*Balance!$G$22/1000</f>
        <v>0</v>
      </c>
      <c r="AY148" s="176">
        <f ca="1">AX148*Balance!$H$13</f>
        <v>0</v>
      </c>
      <c r="AZ148" s="101"/>
      <c r="BA148" s="95">
        <f>SUM(BA137:BA144)</f>
        <v>56.44323484194647</v>
      </c>
      <c r="BB148" s="66" t="s">
        <v>355</v>
      </c>
      <c r="BC148" s="66"/>
      <c r="BD148" s="66"/>
      <c r="BE148" s="66"/>
      <c r="BF148" s="66"/>
      <c r="BG148" s="66"/>
      <c r="BH148" s="66"/>
      <c r="BI148" s="101" t="s">
        <v>149</v>
      </c>
      <c r="BJ148" s="95">
        <f>SUM(BJ137:BJ144)</f>
        <v>22.593254496182151</v>
      </c>
      <c r="BK148" s="66" t="s">
        <v>357</v>
      </c>
      <c r="BL148" s="66"/>
      <c r="BM148" s="358"/>
    </row>
    <row r="149" spans="1:65" ht="15.75" outlineLevel="1" x14ac:dyDescent="0.25">
      <c r="A149" s="61"/>
      <c r="B149" s="272"/>
      <c r="C149" s="77"/>
      <c r="D149" s="155"/>
      <c r="E149" s="188" t="s">
        <v>395</v>
      </c>
      <c r="F149" s="116"/>
      <c r="H149" s="68"/>
      <c r="I149" s="68"/>
      <c r="J149" s="67"/>
      <c r="K149" s="190">
        <f>BA148</f>
        <v>56.44323484194647</v>
      </c>
      <c r="L149" s="128" t="s">
        <v>400</v>
      </c>
      <c r="M149" s="67"/>
      <c r="N149" s="67"/>
      <c r="O149" s="67"/>
      <c r="P149" s="67"/>
      <c r="Q149" s="67"/>
      <c r="R149" s="190">
        <f>BJ148</f>
        <v>22.593254496182151</v>
      </c>
      <c r="S149" s="128" t="s">
        <v>399</v>
      </c>
      <c r="U149" s="68"/>
      <c r="V149" s="68"/>
      <c r="W149" s="68"/>
      <c r="X149" s="68"/>
      <c r="Y149" s="67"/>
      <c r="Z149" s="67"/>
      <c r="AA149" s="8"/>
      <c r="AB149" s="61"/>
      <c r="AC149" s="101"/>
      <c r="AD149" s="101"/>
      <c r="AE149" s="154"/>
      <c r="AF149" s="101"/>
      <c r="AG149" s="154"/>
      <c r="AH149" s="65"/>
      <c r="AI149" s="65"/>
      <c r="AJ149" s="65"/>
      <c r="AK149" s="65"/>
      <c r="AL149" s="103"/>
      <c r="AM149" s="65"/>
      <c r="AN149" s="65"/>
      <c r="AO149" s="101"/>
      <c r="AP149" s="154"/>
      <c r="AQ149" s="65"/>
      <c r="AR149" s="65"/>
      <c r="AS149" s="152" t="str">
        <f>Data!$D$5</f>
        <v>Direct electric</v>
      </c>
      <c r="AT149" s="177" t="s">
        <v>374</v>
      </c>
      <c r="AU149" s="179">
        <f>AU147/Balance!$H$18*Balance!$H$22</f>
        <v>0</v>
      </c>
      <c r="AV149" s="176">
        <f>AU149*Balance!$H$13</f>
        <v>0</v>
      </c>
      <c r="AW149" s="66"/>
      <c r="AX149" s="186">
        <f ca="1">AU147/Balance!$H$18*Balance!$G$22/1000</f>
        <v>0</v>
      </c>
      <c r="AY149" s="176">
        <f ca="1">AX149*Balance!$H$13</f>
        <v>0</v>
      </c>
      <c r="AZ149" s="101"/>
      <c r="BA149" s="154"/>
      <c r="BB149" s="66"/>
      <c r="BC149" s="66"/>
      <c r="BD149" s="66"/>
      <c r="BE149" s="66"/>
      <c r="BF149" s="66"/>
      <c r="BG149" s="66"/>
      <c r="BH149" s="66"/>
      <c r="BI149" s="101"/>
      <c r="BJ149" s="154"/>
      <c r="BK149" s="66"/>
      <c r="BL149" s="66"/>
      <c r="BM149" s="358"/>
    </row>
    <row r="150" spans="1:65" ht="15.75" outlineLevel="1" x14ac:dyDescent="0.25">
      <c r="A150" s="61"/>
      <c r="B150" s="272"/>
      <c r="C150" s="77"/>
      <c r="D150" s="155"/>
      <c r="E150" s="188" t="s">
        <v>396</v>
      </c>
      <c r="F150" s="116"/>
      <c r="H150" s="68"/>
      <c r="I150" s="68"/>
      <c r="J150" s="67"/>
      <c r="K150" s="190">
        <f>AV152</f>
        <v>0</v>
      </c>
      <c r="L150" s="128" t="s">
        <v>401</v>
      </c>
      <c r="M150" s="67"/>
      <c r="N150" s="67"/>
      <c r="O150" s="67"/>
      <c r="P150" s="67"/>
      <c r="Q150" s="67"/>
      <c r="R150" s="190">
        <f ca="1">AY152</f>
        <v>0</v>
      </c>
      <c r="S150" s="128" t="s">
        <v>358</v>
      </c>
      <c r="U150" s="68"/>
      <c r="V150" s="68"/>
      <c r="W150" s="68"/>
      <c r="X150" s="68"/>
      <c r="Y150" s="67"/>
      <c r="Z150" s="67"/>
      <c r="AA150" s="8"/>
      <c r="AB150" s="61"/>
      <c r="AC150" s="101"/>
      <c r="AD150" s="101"/>
      <c r="AE150" s="154"/>
      <c r="AF150" s="101"/>
      <c r="AG150" s="154"/>
      <c r="AH150" s="65"/>
      <c r="AI150" s="65"/>
      <c r="AJ150" s="65"/>
      <c r="AK150" s="65"/>
      <c r="AL150" s="103"/>
      <c r="AM150" s="65"/>
      <c r="AN150" s="65"/>
      <c r="AO150" s="101"/>
      <c r="AP150" s="154"/>
      <c r="AQ150" s="65"/>
      <c r="AR150" s="65"/>
      <c r="AS150" s="152" t="str">
        <f>Data!$D$6</f>
        <v>Gas boiler</v>
      </c>
      <c r="AT150" s="177" t="s">
        <v>374</v>
      </c>
      <c r="AU150" s="179">
        <f>AU147/(Balance!$H$18*Balance!$H$19)*Balance!H$23</f>
        <v>0</v>
      </c>
      <c r="AV150" s="176">
        <f>AU150*Balance!$H$13</f>
        <v>0</v>
      </c>
      <c r="AW150" s="66"/>
      <c r="AX150" s="186">
        <f ca="1">AU147/(Balance!$H$18*Balance!$H$19)*Balance!$G$23/1000</f>
        <v>0</v>
      </c>
      <c r="AY150" s="176">
        <f ca="1">AX150*Balance!$H$13</f>
        <v>0</v>
      </c>
      <c r="AZ150" s="101"/>
      <c r="BA150" s="154"/>
      <c r="BB150" s="66"/>
      <c r="BC150" s="66"/>
      <c r="BD150" s="66"/>
      <c r="BE150" s="66"/>
      <c r="BF150" s="66"/>
      <c r="BG150" s="66"/>
      <c r="BH150" s="66"/>
      <c r="BI150" s="101"/>
      <c r="BJ150" s="154"/>
      <c r="BK150" s="66"/>
      <c r="BL150" s="66"/>
      <c r="BM150" s="358"/>
    </row>
    <row r="151" spans="1:65" ht="15.75" outlineLevel="1" x14ac:dyDescent="0.25">
      <c r="A151" s="61"/>
      <c r="B151" s="272"/>
      <c r="C151" s="77"/>
      <c r="D151" s="155"/>
      <c r="E151" s="188" t="s">
        <v>352</v>
      </c>
      <c r="F151" s="116"/>
      <c r="H151" s="68"/>
      <c r="I151" s="68"/>
      <c r="J151" s="67"/>
      <c r="K151" s="191">
        <f>K150+K149</f>
        <v>56.44323484194647</v>
      </c>
      <c r="L151" s="128" t="s">
        <v>355</v>
      </c>
      <c r="M151" s="67"/>
      <c r="N151" s="67"/>
      <c r="O151" s="67"/>
      <c r="P151" s="67"/>
      <c r="Q151" s="67"/>
      <c r="R151" s="191">
        <f ca="1">R150+R149</f>
        <v>22.593254496182151</v>
      </c>
      <c r="S151" s="128" t="s">
        <v>358</v>
      </c>
      <c r="T151" s="153"/>
      <c r="U151" s="68"/>
      <c r="V151" s="68"/>
      <c r="W151" s="68"/>
      <c r="X151" s="68"/>
      <c r="Y151" s="67"/>
      <c r="Z151" s="67"/>
      <c r="AA151" s="8"/>
      <c r="AB151" s="61"/>
      <c r="AC151" s="101"/>
      <c r="AD151" s="101"/>
      <c r="AE151" s="154"/>
      <c r="AF151" s="101"/>
      <c r="AG151" s="154"/>
      <c r="AH151" s="65"/>
      <c r="AI151" s="65"/>
      <c r="AJ151" s="65"/>
      <c r="AK151" s="65"/>
      <c r="AL151" s="103"/>
      <c r="AM151" s="65"/>
      <c r="AN151" s="65"/>
      <c r="AO151" s="101"/>
      <c r="AP151" s="154"/>
      <c r="AQ151" s="65"/>
      <c r="AR151" s="65"/>
      <c r="AS151" s="152" t="str">
        <f>Data!$D$7</f>
        <v>Biomass</v>
      </c>
      <c r="AT151" s="177" t="s">
        <v>374</v>
      </c>
      <c r="AU151" s="179">
        <f>AU147/(Balance!$H$18*Balance!$H$19)*Balance!$H$24</f>
        <v>0</v>
      </c>
      <c r="AV151" s="176">
        <f>AU151*Balance!$H$13</f>
        <v>0</v>
      </c>
      <c r="AW151" s="66"/>
      <c r="AX151" s="186">
        <f ca="1">AU147/(Balance!$H$18*Balance!$H$19)*Balance!$G$24/1000</f>
        <v>0</v>
      </c>
      <c r="AY151" s="176">
        <f ca="1">AX151*Balance!$H$13</f>
        <v>0</v>
      </c>
      <c r="AZ151" s="101"/>
      <c r="BA151" s="154"/>
      <c r="BB151" s="66"/>
      <c r="BC151" s="66"/>
      <c r="BD151" s="66"/>
      <c r="BE151" s="66"/>
      <c r="BF151" s="66"/>
      <c r="BG151" s="66"/>
      <c r="BH151" s="66"/>
      <c r="BI151" s="101"/>
      <c r="BJ151" s="154"/>
      <c r="BK151" s="66"/>
      <c r="BL151" s="66"/>
      <c r="BM151" s="358"/>
    </row>
    <row r="152" spans="1:65" outlineLevel="1" x14ac:dyDescent="0.25">
      <c r="A152" s="61"/>
      <c r="B152" s="272"/>
      <c r="C152" s="104"/>
      <c r="D152" s="105"/>
      <c r="E152" s="106"/>
      <c r="F152" s="106"/>
      <c r="G152" s="106"/>
      <c r="H152" s="107"/>
      <c r="I152" s="107"/>
      <c r="J152" s="107"/>
      <c r="K152" s="106"/>
      <c r="L152" s="106"/>
      <c r="M152" s="106"/>
      <c r="N152" s="106"/>
      <c r="O152" s="106"/>
      <c r="P152" s="106"/>
      <c r="Q152" s="106"/>
      <c r="R152" s="106"/>
      <c r="S152" s="106"/>
      <c r="T152" s="106"/>
      <c r="U152" s="106"/>
      <c r="V152" s="106"/>
      <c r="W152" s="106"/>
      <c r="X152" s="106"/>
      <c r="Y152" s="106"/>
      <c r="Z152" s="108"/>
      <c r="AA152" s="109"/>
      <c r="AB152" s="61"/>
      <c r="AC152" s="101"/>
      <c r="AD152" s="101" t="s">
        <v>129</v>
      </c>
      <c r="AE152" s="110">
        <f>IF(ISNUMBER(G137),(AG148-AP148)/(2*AE148),0)</f>
        <v>-6.0707746365316726E-17</v>
      </c>
      <c r="AF152" s="111"/>
      <c r="AG152" s="65"/>
      <c r="AH152" s="101"/>
      <c r="AI152" s="65"/>
      <c r="AJ152" s="65"/>
      <c r="AK152" s="65"/>
      <c r="AL152" s="65"/>
      <c r="AM152" s="65"/>
      <c r="AN152" s="65"/>
      <c r="AO152" s="65"/>
      <c r="AP152" s="66"/>
      <c r="AQ152" s="65"/>
      <c r="AR152" s="65"/>
      <c r="AS152" s="178" t="str">
        <f>Balance!$G$16</f>
        <v>Heat pump</v>
      </c>
      <c r="AT152" s="66"/>
      <c r="AU152" s="185">
        <f>VLOOKUP(AS152,AS148:AU151,3,0)</f>
        <v>0</v>
      </c>
      <c r="AV152" s="185">
        <f>VLOOKUP(AS152,AS148:AV151,4,0)</f>
        <v>0</v>
      </c>
      <c r="AW152" s="185"/>
      <c r="AX152" s="187">
        <f ca="1">VLOOKUP(AS152,AS148:AX151,6,0)</f>
        <v>0</v>
      </c>
      <c r="AY152" s="185">
        <f ca="1">VLOOKUP(AS152,AS148:AY151,7,0)</f>
        <v>0</v>
      </c>
      <c r="AZ152" s="66"/>
      <c r="BA152" s="66"/>
      <c r="BB152" s="66"/>
      <c r="BC152" s="66"/>
      <c r="BD152" s="66"/>
      <c r="BE152" s="66"/>
      <c r="BF152" s="66"/>
      <c r="BG152" s="66"/>
      <c r="BH152" s="66"/>
      <c r="BI152" s="66"/>
      <c r="BJ152" s="66"/>
      <c r="BK152" s="66"/>
      <c r="BL152" s="66"/>
      <c r="BM152" s="66"/>
    </row>
    <row r="153" spans="1:65" outlineLevel="1" x14ac:dyDescent="0.25">
      <c r="B153" s="201"/>
    </row>
    <row r="154" spans="1:65" outlineLevel="1" x14ac:dyDescent="0.25">
      <c r="A154" s="61"/>
      <c r="B154" s="272"/>
      <c r="C154" s="62"/>
      <c r="D154" s="114" t="s">
        <v>131</v>
      </c>
      <c r="E154" s="115" t="s">
        <v>132</v>
      </c>
      <c r="F154" s="115"/>
      <c r="G154" s="63"/>
      <c r="H154" s="63"/>
      <c r="I154" s="63"/>
      <c r="J154" s="63"/>
      <c r="K154" s="63"/>
      <c r="L154" s="63"/>
      <c r="M154" s="63"/>
      <c r="N154" s="63"/>
      <c r="O154" s="63"/>
      <c r="P154" s="63"/>
      <c r="Q154" s="63"/>
      <c r="R154" s="63"/>
      <c r="S154" s="63"/>
      <c r="T154" s="63"/>
      <c r="U154" s="63"/>
      <c r="V154" s="63"/>
      <c r="W154" s="63"/>
      <c r="X154" s="63"/>
      <c r="Y154" s="63"/>
      <c r="Z154" s="63"/>
      <c r="AA154" s="64"/>
      <c r="AB154" s="61"/>
      <c r="AC154" s="65" t="s">
        <v>402</v>
      </c>
      <c r="AD154" s="65"/>
      <c r="AE154" s="65"/>
      <c r="AF154" s="65"/>
      <c r="AG154" s="65"/>
      <c r="AH154" s="65"/>
      <c r="AI154" s="65"/>
      <c r="AJ154" s="65"/>
      <c r="AK154" s="65"/>
      <c r="AL154" s="65"/>
      <c r="AM154" s="65"/>
      <c r="AN154" s="65"/>
      <c r="AO154" s="65"/>
      <c r="AP154" s="65"/>
      <c r="AQ154" s="66"/>
      <c r="AR154" s="65" t="s">
        <v>405</v>
      </c>
      <c r="AS154" s="65"/>
      <c r="AT154" s="65"/>
      <c r="AU154" s="65"/>
      <c r="AV154" s="65"/>
      <c r="AW154" s="65"/>
      <c r="AX154" s="65"/>
      <c r="AY154" s="65"/>
      <c r="AZ154" s="65"/>
      <c r="BA154" s="65"/>
      <c r="BB154" s="65" t="s">
        <v>403</v>
      </c>
      <c r="BC154" s="65"/>
      <c r="BD154" s="65"/>
      <c r="BE154" s="65"/>
      <c r="BF154" s="65"/>
      <c r="BG154" s="65"/>
      <c r="BH154" s="65"/>
      <c r="BI154" s="65"/>
      <c r="BJ154" s="65"/>
      <c r="BK154" s="65"/>
      <c r="BL154" s="65"/>
      <c r="BM154" s="65"/>
    </row>
    <row r="155" spans="1:65" ht="15.75" x14ac:dyDescent="0.25">
      <c r="A155" s="61"/>
      <c r="B155" s="272"/>
      <c r="C155" s="69"/>
      <c r="D155" s="70">
        <v>6</v>
      </c>
      <c r="E155" s="71" t="s">
        <v>941</v>
      </c>
      <c r="F155" s="92"/>
      <c r="G155" s="72"/>
      <c r="H155" s="72"/>
      <c r="I155" s="72"/>
      <c r="J155" s="72"/>
      <c r="K155" s="72"/>
      <c r="L155" s="72"/>
      <c r="M155" s="72"/>
      <c r="N155" s="72"/>
      <c r="O155" s="72"/>
      <c r="P155" s="72"/>
      <c r="Q155" s="72"/>
      <c r="R155" s="72"/>
      <c r="S155" s="72"/>
      <c r="T155" s="72"/>
      <c r="U155" s="72"/>
      <c r="V155" s="72"/>
      <c r="W155" s="72"/>
      <c r="X155" s="72"/>
      <c r="Y155" s="72"/>
      <c r="Z155" s="73"/>
      <c r="AA155" s="75"/>
      <c r="AB155" s="61"/>
      <c r="AC155" s="65"/>
      <c r="AD155" s="65"/>
      <c r="AE155" s="76" t="s">
        <v>114</v>
      </c>
      <c r="AF155" s="65"/>
      <c r="AG155" s="65"/>
      <c r="AH155" s="65"/>
      <c r="AI155" s="65"/>
      <c r="AJ155" s="65"/>
      <c r="AK155" s="65"/>
      <c r="AL155" s="65"/>
      <c r="AM155" s="65"/>
      <c r="AN155" s="65"/>
      <c r="AO155" s="65"/>
      <c r="AP155" s="66"/>
      <c r="AQ155" s="65"/>
      <c r="AR155" s="65" t="s">
        <v>404</v>
      </c>
      <c r="AS155" s="65"/>
      <c r="AT155" s="65"/>
      <c r="AU155" s="65"/>
      <c r="AV155" s="65"/>
      <c r="AW155" s="65"/>
      <c r="AX155" s="65"/>
      <c r="AY155" s="65"/>
      <c r="AZ155" s="65"/>
      <c r="BA155" s="65"/>
      <c r="BB155" s="65" t="s">
        <v>407</v>
      </c>
      <c r="BC155" s="65"/>
      <c r="BD155" s="65"/>
      <c r="BE155" s="65"/>
      <c r="BF155" s="65"/>
      <c r="BG155" s="65"/>
      <c r="BH155" s="65"/>
      <c r="BI155" s="65"/>
      <c r="BJ155" s="65"/>
      <c r="BK155" s="65"/>
      <c r="BL155" s="65"/>
      <c r="BM155" s="65"/>
    </row>
    <row r="156" spans="1:65" outlineLevel="1" x14ac:dyDescent="0.25">
      <c r="A156" s="61"/>
      <c r="B156" s="272"/>
      <c r="C156" s="77"/>
      <c r="D156" s="116" t="s">
        <v>133</v>
      </c>
      <c r="E156" s="78"/>
      <c r="F156" s="78"/>
      <c r="AA156" s="75"/>
      <c r="AB156" s="61"/>
      <c r="AC156" s="65"/>
      <c r="AD156" s="65"/>
      <c r="AE156" s="65"/>
      <c r="AF156" s="65"/>
      <c r="AG156" s="65"/>
      <c r="AH156" s="65"/>
      <c r="AI156" s="65"/>
      <c r="AJ156" s="65"/>
      <c r="AK156" s="65"/>
      <c r="AL156" s="65"/>
      <c r="AM156" s="65"/>
      <c r="AN156" s="65"/>
      <c r="AO156" s="65"/>
      <c r="AP156" s="66"/>
      <c r="AQ156" s="65"/>
      <c r="AR156" s="65"/>
      <c r="AS156" s="65"/>
      <c r="AT156" s="65"/>
      <c r="AU156" s="65"/>
      <c r="AV156" s="65"/>
      <c r="AW156" s="65"/>
      <c r="AX156" s="65"/>
      <c r="AY156" s="65"/>
      <c r="AZ156" s="65"/>
      <c r="BA156" s="65"/>
      <c r="BB156" s="65"/>
      <c r="BC156" s="65"/>
      <c r="BD156" s="65"/>
      <c r="BE156" s="65"/>
      <c r="BF156" s="65"/>
      <c r="BG156" s="65"/>
      <c r="BH156" s="65"/>
      <c r="BI156" s="65"/>
      <c r="BJ156" s="65"/>
      <c r="BK156" s="65"/>
      <c r="BL156" s="65"/>
      <c r="BM156" s="65"/>
    </row>
    <row r="157" spans="1:65" outlineLevel="1" x14ac:dyDescent="0.25">
      <c r="A157" s="61"/>
      <c r="B157" s="272"/>
      <c r="C157" s="77"/>
      <c r="D157" s="79">
        <v>0.13</v>
      </c>
      <c r="E157" s="2" t="s">
        <v>151</v>
      </c>
      <c r="F157" s="138">
        <v>0</v>
      </c>
      <c r="G157" s="61"/>
      <c r="H157" s="74"/>
      <c r="I157" s="74"/>
      <c r="J157" s="74"/>
      <c r="K157" s="2" t="s">
        <v>921</v>
      </c>
      <c r="L157" s="74"/>
      <c r="M157" s="74"/>
      <c r="N157" s="74"/>
      <c r="AA157" s="75"/>
      <c r="AB157" s="61"/>
      <c r="AC157" s="65"/>
      <c r="AD157" s="65"/>
      <c r="AE157" s="65" t="s">
        <v>115</v>
      </c>
      <c r="AF157" s="65"/>
      <c r="AG157" s="65"/>
      <c r="AH157" s="65"/>
      <c r="AI157" s="65" t="s">
        <v>116</v>
      </c>
      <c r="AJ157" s="65"/>
      <c r="AK157" s="65"/>
      <c r="AL157" s="65"/>
      <c r="AM157" s="65"/>
      <c r="AN157" s="65"/>
      <c r="AO157" s="65"/>
      <c r="AP157" s="66"/>
      <c r="AQ157" s="65"/>
      <c r="AR157" s="65"/>
      <c r="AS157" s="65"/>
      <c r="AT157" s="65"/>
      <c r="AU157" s="65"/>
      <c r="AV157" s="65"/>
      <c r="AW157" s="65"/>
      <c r="AX157" s="65"/>
      <c r="AY157" s="65"/>
      <c r="AZ157" s="65"/>
      <c r="BA157" s="65"/>
      <c r="BB157" s="65"/>
      <c r="BC157" s="65"/>
      <c r="BD157" s="65"/>
      <c r="BE157" s="65"/>
      <c r="BF157" s="65"/>
      <c r="BG157" s="65"/>
      <c r="BH157" s="65"/>
      <c r="BI157" s="65"/>
      <c r="BJ157" s="65"/>
      <c r="BK157" s="65"/>
      <c r="BL157" s="65"/>
      <c r="BM157" s="65"/>
    </row>
    <row r="158" spans="1:65" ht="15.75" outlineLevel="1" x14ac:dyDescent="0.25">
      <c r="A158" s="61"/>
      <c r="B158" s="272"/>
      <c r="C158" s="77"/>
      <c r="D158" s="79">
        <v>0.04</v>
      </c>
      <c r="E158" s="2" t="s">
        <v>152</v>
      </c>
      <c r="F158" s="2"/>
      <c r="G158" s="61"/>
      <c r="H158" s="74"/>
      <c r="I158" s="74"/>
      <c r="J158" s="74"/>
      <c r="K158" s="74"/>
      <c r="L158" s="74"/>
      <c r="M158" s="74"/>
      <c r="N158" s="74"/>
      <c r="AA158" s="75"/>
      <c r="AB158" s="61"/>
      <c r="AC158" s="65"/>
      <c r="AD158" s="65"/>
      <c r="AE158" s="80" t="s">
        <v>117</v>
      </c>
      <c r="AF158" s="81"/>
      <c r="AG158" s="81"/>
      <c r="AH158" s="65"/>
      <c r="AI158" s="82" t="s">
        <v>118</v>
      </c>
      <c r="AJ158" s="81"/>
      <c r="AK158" s="81"/>
      <c r="AL158" s="65"/>
      <c r="AM158" s="83" t="s">
        <v>119</v>
      </c>
      <c r="AN158" s="84"/>
      <c r="AO158" s="85"/>
      <c r="AP158" s="65"/>
      <c r="AQ158" s="65"/>
      <c r="AR158" s="65"/>
      <c r="AS158" s="65"/>
      <c r="AT158" s="65"/>
      <c r="AU158" s="65"/>
      <c r="AV158" s="65"/>
      <c r="AW158" s="65"/>
      <c r="AX158" s="65"/>
      <c r="AY158" s="65"/>
      <c r="AZ158" s="65"/>
      <c r="BA158" s="65"/>
      <c r="BB158" s="65"/>
      <c r="BC158" s="65"/>
      <c r="BD158" s="65"/>
      <c r="BE158" s="65"/>
      <c r="BF158" s="65"/>
      <c r="BG158" s="65"/>
      <c r="BH158" s="65"/>
      <c r="BI158" s="65"/>
      <c r="BJ158" s="65"/>
      <c r="BK158" s="65"/>
      <c r="BL158" s="65"/>
      <c r="BM158" s="65"/>
    </row>
    <row r="159" spans="1:65" ht="15.75" outlineLevel="1" x14ac:dyDescent="0.25">
      <c r="A159" s="61"/>
      <c r="B159" s="272"/>
      <c r="C159" s="77"/>
      <c r="D159" s="74"/>
      <c r="E159" s="61"/>
      <c r="F159" s="61"/>
      <c r="G159" s="61"/>
      <c r="H159" s="74"/>
      <c r="I159" s="74"/>
      <c r="J159" s="74"/>
      <c r="K159" s="74"/>
      <c r="L159" s="74"/>
      <c r="M159" s="74"/>
      <c r="N159" s="74"/>
      <c r="O159" s="1"/>
      <c r="P159" s="1"/>
      <c r="Q159" s="1"/>
      <c r="AA159" s="75"/>
      <c r="AB159" s="61"/>
      <c r="AC159" s="65"/>
      <c r="AD159" s="65"/>
      <c r="AE159" s="117"/>
      <c r="AF159" s="117"/>
      <c r="AG159" s="117"/>
      <c r="AH159" s="65"/>
      <c r="AI159" s="118"/>
      <c r="AJ159" s="117"/>
      <c r="AK159" s="117"/>
      <c r="AL159" s="65"/>
      <c r="AM159" s="119"/>
      <c r="AN159" s="119"/>
      <c r="AO159" s="119"/>
      <c r="AP159" s="65"/>
      <c r="AQ159" s="65"/>
      <c r="AR159" s="65"/>
      <c r="AS159" s="65"/>
      <c r="AT159" s="148" t="s">
        <v>351</v>
      </c>
      <c r="AU159" s="65"/>
      <c r="AV159" s="65"/>
      <c r="AW159" s="65"/>
      <c r="AX159" s="148"/>
      <c r="AY159" s="65"/>
      <c r="AZ159" s="65"/>
      <c r="BA159" s="65"/>
      <c r="BB159" s="65"/>
      <c r="BC159" s="148" t="s">
        <v>406</v>
      </c>
      <c r="BD159" s="65"/>
      <c r="BE159" s="65"/>
      <c r="BF159" s="65"/>
      <c r="BG159" s="148"/>
      <c r="BH159" s="65"/>
      <c r="BI159" s="65"/>
      <c r="BJ159" s="65"/>
      <c r="BK159" s="65"/>
      <c r="BL159" s="65"/>
      <c r="BM159" s="65"/>
    </row>
    <row r="160" spans="1:65" ht="22.5" outlineLevel="1" x14ac:dyDescent="0.25">
      <c r="A160" s="61"/>
      <c r="B160" s="272"/>
      <c r="C160" s="77"/>
      <c r="D160" s="121" t="str">
        <f>$D$35</f>
        <v>Area section 1</v>
      </c>
      <c r="E160" s="61"/>
      <c r="F160" s="122" t="str">
        <f>$F$35</f>
        <v>Count?</v>
      </c>
      <c r="G160" s="122" t="str">
        <f>$G$35</f>
        <v>Thermal conductivity</v>
      </c>
      <c r="H160" s="122" t="str">
        <f>$H$35</f>
        <v>Manfacturing energy</v>
      </c>
      <c r="I160" s="122" t="str">
        <f>$I$35</f>
        <v>GWP</v>
      </c>
      <c r="J160" s="122" t="str">
        <f>$J$35</f>
        <v>Service life</v>
      </c>
      <c r="K160" s="121" t="str">
        <f>$K$35</f>
        <v>Area section 2 (optional)</v>
      </c>
      <c r="L160" s="121"/>
      <c r="M160" s="122" t="str">
        <f>$M$35</f>
        <v>Count?</v>
      </c>
      <c r="N160" s="122" t="str">
        <f>$N$35</f>
        <v>Thermal conductivity</v>
      </c>
      <c r="O160" s="122" t="str">
        <f>$O$35</f>
        <v>Manfacturing energy</v>
      </c>
      <c r="P160" s="122" t="str">
        <f>$P$35</f>
        <v>GWP</v>
      </c>
      <c r="Q160" s="122" t="str">
        <f>$Q$35</f>
        <v>Service life</v>
      </c>
      <c r="R160" s="121" t="str">
        <f>$R$35</f>
        <v>Area section 3 (optional)</v>
      </c>
      <c r="S160" s="74"/>
      <c r="T160" s="122" t="str">
        <f>$T$35</f>
        <v>Count?</v>
      </c>
      <c r="U160" s="122" t="str">
        <f>$U$35</f>
        <v>Thermal conductivity</v>
      </c>
      <c r="V160" s="122" t="str">
        <f>$V$35</f>
        <v>Manfacturing energy</v>
      </c>
      <c r="W160" s="122" t="str">
        <f>$W$35</f>
        <v>GWP</v>
      </c>
      <c r="X160" s="122" t="str">
        <f>$X$35</f>
        <v>Service life</v>
      </c>
      <c r="Y160" s="74"/>
      <c r="Z160" s="122" t="str">
        <f>$Z$35</f>
        <v>Thickness</v>
      </c>
      <c r="AA160" s="75"/>
      <c r="AB160" s="61"/>
      <c r="AC160" s="65"/>
      <c r="AD160" s="65"/>
      <c r="AE160" s="86"/>
      <c r="AF160" s="87"/>
      <c r="AG160" s="65"/>
      <c r="AH160" s="65"/>
      <c r="AI160" s="65"/>
      <c r="AJ160" s="65"/>
      <c r="AK160" s="65"/>
      <c r="AL160" s="65"/>
      <c r="AM160" s="65"/>
      <c r="AN160" s="65"/>
      <c r="AO160" s="65"/>
      <c r="AP160" s="65"/>
      <c r="AQ160" s="65"/>
      <c r="AR160" s="65"/>
      <c r="AS160" s="65"/>
      <c r="AT160" s="148"/>
      <c r="AU160" s="65"/>
      <c r="AV160" s="65"/>
      <c r="AW160" s="151" t="s">
        <v>353</v>
      </c>
      <c r="AX160" s="149">
        <f>D170</f>
        <v>1</v>
      </c>
      <c r="AY160" s="150">
        <f>K170</f>
        <v>0</v>
      </c>
      <c r="AZ160" s="150">
        <f>R170</f>
        <v>0</v>
      </c>
      <c r="BA160" s="156">
        <f>SUM(AX160:AZ160)</f>
        <v>1</v>
      </c>
      <c r="BB160" s="65"/>
      <c r="BC160" s="148"/>
      <c r="BD160" s="65"/>
      <c r="BE160" s="65"/>
      <c r="BF160" s="151" t="s">
        <v>353</v>
      </c>
      <c r="BG160" s="149">
        <f>AX160</f>
        <v>1</v>
      </c>
      <c r="BH160" s="149">
        <f t="shared" ref="BH160" si="114">AY160</f>
        <v>0</v>
      </c>
      <c r="BI160" s="149">
        <f t="shared" ref="BI160" si="115">AZ160</f>
        <v>0</v>
      </c>
      <c r="BJ160" s="156">
        <f>SUM(BG160:BI160)</f>
        <v>1</v>
      </c>
      <c r="BK160" s="65"/>
      <c r="BL160" s="65"/>
      <c r="BM160" s="65"/>
    </row>
    <row r="161" spans="1:65" outlineLevel="1" x14ac:dyDescent="0.25">
      <c r="A161" s="61"/>
      <c r="B161" s="272"/>
      <c r="C161" s="77"/>
      <c r="E161" s="61"/>
      <c r="F161" s="120" t="s">
        <v>985</v>
      </c>
      <c r="G161" s="4" t="s">
        <v>135</v>
      </c>
      <c r="H161" s="120" t="s">
        <v>144</v>
      </c>
      <c r="I161" s="120" t="s">
        <v>148</v>
      </c>
      <c r="J161" s="120" t="s">
        <v>146</v>
      </c>
      <c r="K161" s="88"/>
      <c r="L161" s="88"/>
      <c r="M161" s="88"/>
      <c r="N161" s="4" t="s">
        <v>135</v>
      </c>
      <c r="O161" s="120" t="s">
        <v>144</v>
      </c>
      <c r="P161" s="120" t="s">
        <v>148</v>
      </c>
      <c r="Q161" s="120" t="s">
        <v>146</v>
      </c>
      <c r="R161" s="88"/>
      <c r="S161" s="88"/>
      <c r="T161" s="88"/>
      <c r="U161" s="4" t="s">
        <v>135</v>
      </c>
      <c r="V161" s="120" t="s">
        <v>144</v>
      </c>
      <c r="W161" s="120" t="s">
        <v>148</v>
      </c>
      <c r="X161" s="120" t="s">
        <v>146</v>
      </c>
      <c r="Y161" s="74"/>
      <c r="Z161" s="120" t="str">
        <f>$Z$36</f>
        <v>[mm]</v>
      </c>
      <c r="AA161" s="75"/>
      <c r="AB161" s="61"/>
      <c r="AC161" s="65"/>
      <c r="AD161" s="65"/>
      <c r="AE161" s="89" t="s">
        <v>120</v>
      </c>
      <c r="AF161" s="89" t="s">
        <v>121</v>
      </c>
      <c r="AG161" s="89" t="s">
        <v>122</v>
      </c>
      <c r="AH161" s="65"/>
      <c r="AI161" s="89" t="s">
        <v>120</v>
      </c>
      <c r="AJ161" s="89" t="s">
        <v>121</v>
      </c>
      <c r="AK161" s="89" t="s">
        <v>122</v>
      </c>
      <c r="AL161" s="90"/>
      <c r="AM161" s="89" t="s">
        <v>120</v>
      </c>
      <c r="AN161" s="89" t="s">
        <v>121</v>
      </c>
      <c r="AO161" s="89" t="s">
        <v>122</v>
      </c>
      <c r="AP161" s="90" t="s">
        <v>123</v>
      </c>
      <c r="AQ161" s="65"/>
      <c r="AR161" s="65"/>
      <c r="AS161" s="65"/>
      <c r="AT161" s="89" t="s">
        <v>120</v>
      </c>
      <c r="AU161" s="89" t="s">
        <v>121</v>
      </c>
      <c r="AV161" s="89" t="s">
        <v>122</v>
      </c>
      <c r="AW161" s="65"/>
      <c r="AX161" s="89" t="s">
        <v>120</v>
      </c>
      <c r="AY161" s="89" t="s">
        <v>121</v>
      </c>
      <c r="AZ161" s="89" t="s">
        <v>122</v>
      </c>
      <c r="BA161" s="89" t="s">
        <v>354</v>
      </c>
      <c r="BB161" s="65"/>
      <c r="BC161" s="89" t="s">
        <v>120</v>
      </c>
      <c r="BD161" s="89" t="s">
        <v>121</v>
      </c>
      <c r="BE161" s="89" t="s">
        <v>122</v>
      </c>
      <c r="BF161" s="65"/>
      <c r="BG161" s="89" t="s">
        <v>120</v>
      </c>
      <c r="BH161" s="89" t="s">
        <v>121</v>
      </c>
      <c r="BI161" s="89" t="s">
        <v>122</v>
      </c>
      <c r="BJ161" s="89" t="s">
        <v>354</v>
      </c>
      <c r="BK161" s="65"/>
      <c r="BL161" s="65"/>
      <c r="BM161" s="65"/>
    </row>
    <row r="162" spans="1:65" outlineLevel="1" x14ac:dyDescent="0.25">
      <c r="A162" s="61"/>
      <c r="B162" s="272"/>
      <c r="C162" s="91"/>
      <c r="D162" s="418" t="s">
        <v>1023</v>
      </c>
      <c r="E162" s="419"/>
      <c r="F162" s="94">
        <v>1</v>
      </c>
      <c r="G162" s="136">
        <f>IF(ISNUMBER(VLOOKUP(LEFT(D162,3),'Material editor'!$D$11:$H$110,'Material editor'!$E$8,0)),VLOOKUP(LEFT(D162,3),'Material editor'!$D$11:$H$110,'Material editor'!$E$8,0),"")</f>
        <v>0.54</v>
      </c>
      <c r="H162" s="137">
        <f>IF(ISNUMBER(VLOOKUP(LEFT(D162,3),'Material editor'!$D$11:$H$110,'Material editor'!$F$8,0)),VLOOKUP(LEFT(D162,3),'Material editor'!$D$11:$H$110,'Material editor'!$F$8,0),"")</f>
        <v>615.62380504232146</v>
      </c>
      <c r="I162" s="137">
        <f>IF(ISNUMBER(VLOOKUP(LEFT(D162,3),'Material editor'!$D$11:$H$110,'Material editor'!$G$8,0)),VLOOKUP(LEFT(D162,3),'Material editor'!$D$11:$H$110,'Material editor'!$G$8,0),"")</f>
        <v>118.443629056085</v>
      </c>
      <c r="J162" s="137">
        <f>IF(ISNUMBER(VLOOKUP(LEFT(D162,3),'Material editor'!$D$11:$H$110,'Material editor'!$H$8,0)),VLOOKUP(LEFT(D162,3),'Material editor'!$D$11:$H$110,'Material editor'!$H$8,0),"")</f>
        <v>40</v>
      </c>
      <c r="K162" s="418"/>
      <c r="L162" s="407"/>
      <c r="M162" s="94"/>
      <c r="N162" s="136" t="str">
        <f>IF(ISNUMBER(VLOOKUP(LEFT(K162,3),'Material editor'!$D$11:$H$110,'Material editor'!$E$8,0)),VLOOKUP(LEFT(K162,3),'Material editor'!$D$11:$H$110,'Material editor'!$E$8,0),"")</f>
        <v/>
      </c>
      <c r="O162" s="137" t="str">
        <f>IF(ISNUMBER(VLOOKUP(LEFT(K162,3),'Material editor'!$D$11:$H$110,'Material editor'!$F$8,0)),VLOOKUP(LEFT(K162,3),'Material editor'!$D$11:$H$110,'Material editor'!$F$8,0),"")</f>
        <v/>
      </c>
      <c r="P162" s="137" t="str">
        <f>IF(ISNUMBER(VLOOKUP(LEFT(K162,3),'Material editor'!$D$11:$H$110,'Material editor'!$G$8,0)),VLOOKUP(LEFT(K162,3),'Material editor'!$D$11:$H$110,'Material editor'!$G$8,0),"")</f>
        <v/>
      </c>
      <c r="Q162" s="137" t="str">
        <f>IF(ISNUMBER(VLOOKUP(LEFT(K162,3),'Material editor'!$D$11:$H$110,'Material editor'!$H$8,0)),VLOOKUP(LEFT(K162,3),'Material editor'!$D$11:$H$110,'Material editor'!$H$8,0),"")</f>
        <v/>
      </c>
      <c r="R162" s="418"/>
      <c r="S162" s="407"/>
      <c r="T162" s="94"/>
      <c r="U162" s="136" t="str">
        <f>IF(ISNUMBER(VLOOKUP(LEFT(R162,3),'Material editor'!$D$11:$H$110,'Material editor'!$E$8,0)),VLOOKUP(LEFT(R162,3),'Material editor'!$D$11:$H$110,'Material editor'!$E$8,0),"")</f>
        <v/>
      </c>
      <c r="V162" s="137" t="str">
        <f>IF(ISNUMBER(VLOOKUP(LEFT(R162,3),'Material editor'!$D$11:$H$110,'Material editor'!$F$8,0)),VLOOKUP(LEFT(R162,3),'Material editor'!$D$11:$H$110,'Material editor'!$F$8,0),"")</f>
        <v/>
      </c>
      <c r="W162" s="137" t="str">
        <f>IF(ISNUMBER(VLOOKUP(LEFT(R162,3),'Material editor'!$D$11:$H$110,'Material editor'!$G$8,0)),VLOOKUP(LEFT(R162,3),'Material editor'!$D$11:$H$110,'Material editor'!$G$8,0),"")</f>
        <v/>
      </c>
      <c r="X162" s="137" t="str">
        <f>IF(ISNUMBER(VLOOKUP(LEFT(R162,3),'Material editor'!$D$11:$H$110,'Material editor'!$H$8,0)),VLOOKUP(LEFT(R162,3),'Material editor'!$D$11:$H$110,'Material editor'!$H$8,0),"")</f>
        <v/>
      </c>
      <c r="Y162" s="74"/>
      <c r="Z162" s="94">
        <v>15</v>
      </c>
      <c r="AA162" s="8"/>
      <c r="AB162" s="61"/>
      <c r="AC162" s="65"/>
      <c r="AD162" s="65"/>
      <c r="AE162" s="95">
        <f t="shared" ref="AE162:AE169" si="116">IF(ISNUMBER(G162),IF(G162&gt;0,$Z162/1000/G162,0),0)</f>
        <v>2.7777777777777776E-2</v>
      </c>
      <c r="AF162" s="95">
        <f t="shared" ref="AF162:AF169" si="117">IF(ISNUMBER(N162),IF(N162&gt;0,$Z162/1000/N162,0),$AE162)</f>
        <v>2.7777777777777776E-2</v>
      </c>
      <c r="AG162" s="95">
        <f t="shared" ref="AG162:AG169" si="118">IF(ISNUMBER(U162),IF(U162&gt;0,$Z162/1000/U162,0),$AE162)</f>
        <v>2.7777777777777776E-2</v>
      </c>
      <c r="AH162" s="65"/>
      <c r="AI162" s="95">
        <f t="shared" ref="AI162:AI168" si="119">IF(ISNUMBER(G162),G162,0)</f>
        <v>0.54</v>
      </c>
      <c r="AJ162" s="95">
        <f t="shared" ref="AJ162:AJ169" si="120">IF(ISNUMBER(N162),IF(N162&gt;0,N162,0),$AI162)</f>
        <v>0.54</v>
      </c>
      <c r="AK162" s="95">
        <f t="shared" ref="AK162:AK169" si="121">IF(ISNUMBER(U162),IF(U162&gt;0,U162,0),$AI162)</f>
        <v>0.54</v>
      </c>
      <c r="AL162" s="65"/>
      <c r="AM162" s="96">
        <f>AE171</f>
        <v>1</v>
      </c>
      <c r="AN162" s="96">
        <f>AF171</f>
        <v>0</v>
      </c>
      <c r="AO162" s="96">
        <f>AG171</f>
        <v>0</v>
      </c>
      <c r="AP162" s="65">
        <f t="shared" ref="AP162:AP169" si="122">IF(AI162&lt;&gt;0,Z162/1000/SUMPRODUCT(AM162:AO162,AI162:AK162),0)</f>
        <v>2.7777777777777776E-2</v>
      </c>
      <c r="AQ162" s="65"/>
      <c r="AR162" s="65"/>
      <c r="AS162" s="65"/>
      <c r="AT162" s="95">
        <f>IF(ISNUMBER(H162),H162*F162*Z162/1000*Balance!$H$13/J162,0)</f>
        <v>4.6171785378174111</v>
      </c>
      <c r="AU162" s="95">
        <f>IF(ISTEXT(K162),IF(ISNUMBER(O162),O162*M162*Z162/1000*Balance!$H$13/Q162,0),AT162)</f>
        <v>4.6171785378174111</v>
      </c>
      <c r="AV162" s="95">
        <f>IF(ISTEXT(R162),IF(ISNUMBER(V162),V162*T162*Z162/1000*Balance!$H$13/X162,0),AT162)</f>
        <v>4.6171785378174111</v>
      </c>
      <c r="AW162" s="99"/>
      <c r="AX162" s="95">
        <f>AT162*AX160</f>
        <v>4.6171785378174111</v>
      </c>
      <c r="AY162" s="95">
        <f>AU162*AY160</f>
        <v>0</v>
      </c>
      <c r="AZ162" s="95">
        <f>AV162*AZ160</f>
        <v>0</v>
      </c>
      <c r="BA162" s="95">
        <f>SUM(AX162:AZ162)</f>
        <v>4.6171785378174111</v>
      </c>
      <c r="BB162" s="65"/>
      <c r="BC162" s="95">
        <f>IF(ISNUMBER(I162),I162*F162*Z162/1000*Balance!$H$13/J162,0)</f>
        <v>0.88832721792063762</v>
      </c>
      <c r="BD162" s="95">
        <f>IF(ISTEXT(K162),IF(ISNUMBER(P162),P162*M162*Z162/1000*Balance!$H$13/Q162,0),BC162)</f>
        <v>0.88832721792063762</v>
      </c>
      <c r="BE162" s="95">
        <f>IF(ISTEXT(R162),IF(ISNUMBER(W162),W162*T162*Z162/1000*Balance!$H$13/X162,0),BC162)</f>
        <v>0.88832721792063762</v>
      </c>
      <c r="BF162" s="99"/>
      <c r="BG162" s="95">
        <f>BC162*BG160</f>
        <v>0.88832721792063762</v>
      </c>
      <c r="BH162" s="95">
        <f>BD162*BH160</f>
        <v>0</v>
      </c>
      <c r="BI162" s="95">
        <f>BE162*BI160</f>
        <v>0</v>
      </c>
      <c r="BJ162" s="95">
        <f>SUM(BG162:BI162)</f>
        <v>0.88832721792063762</v>
      </c>
      <c r="BK162" s="65"/>
      <c r="BL162" s="65"/>
      <c r="BM162" s="65"/>
    </row>
    <row r="163" spans="1:65" outlineLevel="1" x14ac:dyDescent="0.25">
      <c r="A163" s="61"/>
      <c r="B163" s="272"/>
      <c r="C163" s="91"/>
      <c r="D163" s="418" t="s">
        <v>1025</v>
      </c>
      <c r="E163" s="419"/>
      <c r="F163" s="94">
        <v>1</v>
      </c>
      <c r="G163" s="136">
        <f>IF(ISNUMBER(VLOOKUP(LEFT(D163,3),'Material editor'!$D$11:$H$110,'Material editor'!$E$8,0)),VLOOKUP(LEFT(D163,3),'Material editor'!$D$11:$H$110,'Material editor'!$E$8,0),"")</f>
        <v>1</v>
      </c>
      <c r="H163" s="137">
        <f>IF(ISNUMBER(VLOOKUP(LEFT(D163,3),'Material editor'!$D$11:$H$110,'Material editor'!$F$8,0)),VLOOKUP(LEFT(D163,3),'Material editor'!$D$11:$H$110,'Material editor'!$F$8,0),"")</f>
        <v>614.05957752709162</v>
      </c>
      <c r="I163" s="137">
        <f>IF(ISNUMBER(VLOOKUP(LEFT(D163,3),'Material editor'!$D$11:$H$110,'Material editor'!$G$8,0)),VLOOKUP(LEFT(D163,3),'Material editor'!$D$11:$H$110,'Material editor'!$G$8,0),"")</f>
        <v>302.58299751328502</v>
      </c>
      <c r="J163" s="137">
        <f>IF(ISNUMBER(VLOOKUP(LEFT(D163,3),'Material editor'!$D$11:$H$110,'Material editor'!$H$8,0)),VLOOKUP(LEFT(D163,3),'Material editor'!$D$11:$H$110,'Material editor'!$H$8,0),"")</f>
        <v>80</v>
      </c>
      <c r="K163" s="418"/>
      <c r="L163" s="407"/>
      <c r="M163" s="94"/>
      <c r="N163" s="136" t="str">
        <f>IF(ISNUMBER(VLOOKUP(LEFT(K163,3),'Material editor'!$D$11:$H$110,'Material editor'!$E$8,0)),VLOOKUP(LEFT(K163,3),'Material editor'!$D$11:$H$110,'Material editor'!$E$8,0),"")</f>
        <v/>
      </c>
      <c r="O163" s="137" t="str">
        <f>IF(ISNUMBER(VLOOKUP(LEFT(K163,3),'Material editor'!$D$11:$H$110,'Material editor'!$F$8,0)),VLOOKUP(LEFT(K163,3),'Material editor'!$D$11:$H$110,'Material editor'!$F$8,0),"")</f>
        <v/>
      </c>
      <c r="P163" s="137" t="str">
        <f>IF(ISNUMBER(VLOOKUP(LEFT(K163,3),'Material editor'!$D$11:$H$110,'Material editor'!$G$8,0)),VLOOKUP(LEFT(K163,3),'Material editor'!$D$11:$H$110,'Material editor'!$G$8,0),"")</f>
        <v/>
      </c>
      <c r="Q163" s="137" t="str">
        <f>IF(ISNUMBER(VLOOKUP(LEFT(K163,3),'Material editor'!$D$11:$H$110,'Material editor'!$H$8,0)),VLOOKUP(LEFT(K163,3),'Material editor'!$D$11:$H$110,'Material editor'!$H$8,0),"")</f>
        <v/>
      </c>
      <c r="R163" s="418"/>
      <c r="S163" s="407"/>
      <c r="T163" s="94"/>
      <c r="U163" s="136" t="str">
        <f>IF(ISNUMBER(VLOOKUP(LEFT(R163,3),'Material editor'!$D$11:$H$110,'Material editor'!$E$8,0)),VLOOKUP(LEFT(R163,3),'Material editor'!$D$11:$H$110,'Material editor'!$E$8,0),"")</f>
        <v/>
      </c>
      <c r="V163" s="137" t="str">
        <f>IF(ISNUMBER(VLOOKUP(LEFT(R163,3),'Material editor'!$D$11:$H$110,'Material editor'!$F$8,0)),VLOOKUP(LEFT(R163,3),'Material editor'!$D$11:$H$110,'Material editor'!$F$8,0),"")</f>
        <v/>
      </c>
      <c r="W163" s="137" t="str">
        <f>IF(ISNUMBER(VLOOKUP(LEFT(R163,3),'Material editor'!$D$11:$H$110,'Material editor'!$G$8,0)),VLOOKUP(LEFT(R163,3),'Material editor'!$D$11:$H$110,'Material editor'!$G$8,0),"")</f>
        <v/>
      </c>
      <c r="X163" s="137" t="str">
        <f>IF(ISNUMBER(VLOOKUP(LEFT(R163,3),'Material editor'!$D$11:$H$110,'Material editor'!$H$8,0)),VLOOKUP(LEFT(R163,3),'Material editor'!$D$11:$H$110,'Material editor'!$H$8,0),"")</f>
        <v/>
      </c>
      <c r="Y163" s="74"/>
      <c r="Z163" s="94">
        <v>115</v>
      </c>
      <c r="AA163" s="8"/>
      <c r="AB163" s="61"/>
      <c r="AC163" s="65"/>
      <c r="AD163" s="65"/>
      <c r="AE163" s="95">
        <f t="shared" si="116"/>
        <v>0.115</v>
      </c>
      <c r="AF163" s="95">
        <f t="shared" si="117"/>
        <v>0.115</v>
      </c>
      <c r="AG163" s="95">
        <f t="shared" si="118"/>
        <v>0.115</v>
      </c>
      <c r="AH163" s="65"/>
      <c r="AI163" s="95">
        <f t="shared" si="119"/>
        <v>1</v>
      </c>
      <c r="AJ163" s="95">
        <f t="shared" si="120"/>
        <v>1</v>
      </c>
      <c r="AK163" s="95">
        <f t="shared" si="121"/>
        <v>1</v>
      </c>
      <c r="AL163" s="65"/>
      <c r="AM163" s="96">
        <f t="shared" ref="AM163:AO163" si="123">AM162</f>
        <v>1</v>
      </c>
      <c r="AN163" s="96">
        <f t="shared" si="123"/>
        <v>0</v>
      </c>
      <c r="AO163" s="96">
        <f t="shared" si="123"/>
        <v>0</v>
      </c>
      <c r="AP163" s="65">
        <f t="shared" si="122"/>
        <v>0.115</v>
      </c>
      <c r="AQ163" s="65"/>
      <c r="AR163" s="65"/>
      <c r="AS163" s="65"/>
      <c r="AT163" s="95">
        <f>IF(ISNUMBER(H163),H163*F163*Z163/1000*Balance!$H$13/J163,0)</f>
        <v>17.654212853903886</v>
      </c>
      <c r="AU163" s="95">
        <f>IF(ISTEXT(K163),IF(ISNUMBER(O163),O163*M163*Z163/1000*Balance!$H$13/Q163,0),AT163)</f>
        <v>17.654212853903886</v>
      </c>
      <c r="AV163" s="95">
        <f>IF(ISTEXT(R163),IF(ISNUMBER(V163),V163*T163*Z163/1000*Balance!$H$13/X163,0),AT163)</f>
        <v>17.654212853903886</v>
      </c>
      <c r="AW163" s="65"/>
      <c r="AX163" s="95">
        <f>AT163*AX160</f>
        <v>17.654212853903886</v>
      </c>
      <c r="AY163" s="95">
        <f>AU163*AY160</f>
        <v>0</v>
      </c>
      <c r="AZ163" s="95">
        <f>AV163*AZ160</f>
        <v>0</v>
      </c>
      <c r="BA163" s="95">
        <f t="shared" ref="BA163:BA169" si="124">SUM(AX163:AZ163)</f>
        <v>17.654212853903886</v>
      </c>
      <c r="BB163" s="65"/>
      <c r="BC163" s="95">
        <f>IF(ISNUMBER(I163),I163*F163*Z163/1000*Balance!$H$13/J163,0)</f>
        <v>8.6992611785069442</v>
      </c>
      <c r="BD163" s="95">
        <f>IF(ISTEXT(K163),IF(ISNUMBER(P163),P163*M163*Z163/1000*Balance!$H$13/Q163,0),BC163)</f>
        <v>8.6992611785069442</v>
      </c>
      <c r="BE163" s="95">
        <f>IF(ISTEXT(R163),IF(ISNUMBER(W163),W163*T163*Z163/1000*Balance!$H$13/X163,0),BC163)</f>
        <v>8.6992611785069442</v>
      </c>
      <c r="BF163" s="65"/>
      <c r="BG163" s="95">
        <f>BC163*BG160</f>
        <v>8.6992611785069442</v>
      </c>
      <c r="BH163" s="95">
        <f>BD163*BH160</f>
        <v>0</v>
      </c>
      <c r="BI163" s="95">
        <f>BE163*BI160</f>
        <v>0</v>
      </c>
      <c r="BJ163" s="95">
        <f t="shared" ref="BJ163:BJ169" si="125">SUM(BG163:BI163)</f>
        <v>8.6992611785069442</v>
      </c>
      <c r="BK163" s="65"/>
      <c r="BL163" s="65"/>
      <c r="BM163" s="65"/>
    </row>
    <row r="164" spans="1:65" outlineLevel="1" x14ac:dyDescent="0.25">
      <c r="A164" s="61"/>
      <c r="B164" s="272"/>
      <c r="C164" s="91"/>
      <c r="D164" s="418" t="s">
        <v>1023</v>
      </c>
      <c r="E164" s="419"/>
      <c r="F164" s="94">
        <v>1</v>
      </c>
      <c r="G164" s="136">
        <f>IF(ISNUMBER(VLOOKUP(LEFT(D164,3),'Material editor'!$D$11:$H$110,'Material editor'!$E$8,0)),VLOOKUP(LEFT(D164,3),'Material editor'!$D$11:$H$110,'Material editor'!$E$8,0),"")</f>
        <v>0.54</v>
      </c>
      <c r="H164" s="137">
        <f>IF(ISNUMBER(VLOOKUP(LEFT(D164,3),'Material editor'!$D$11:$H$110,'Material editor'!$F$8,0)),VLOOKUP(LEFT(D164,3),'Material editor'!$D$11:$H$110,'Material editor'!$F$8,0),"")</f>
        <v>615.62380504232146</v>
      </c>
      <c r="I164" s="137">
        <f>IF(ISNUMBER(VLOOKUP(LEFT(D164,3),'Material editor'!$D$11:$H$110,'Material editor'!$G$8,0)),VLOOKUP(LEFT(D164,3),'Material editor'!$D$11:$H$110,'Material editor'!$G$8,0),"")</f>
        <v>118.443629056085</v>
      </c>
      <c r="J164" s="137">
        <f>IF(ISNUMBER(VLOOKUP(LEFT(D164,3),'Material editor'!$D$11:$H$110,'Material editor'!$H$8,0)),VLOOKUP(LEFT(D164,3),'Material editor'!$D$11:$H$110,'Material editor'!$H$8,0),"")</f>
        <v>40</v>
      </c>
      <c r="K164" s="418"/>
      <c r="L164" s="407"/>
      <c r="M164" s="94"/>
      <c r="N164" s="136" t="str">
        <f>IF(ISNUMBER(VLOOKUP(LEFT(K164,3),'Material editor'!$D$11:$H$110,'Material editor'!$E$8,0)),VLOOKUP(LEFT(K164,3),'Material editor'!$D$11:$H$110,'Material editor'!$E$8,0),"")</f>
        <v/>
      </c>
      <c r="O164" s="137" t="str">
        <f>IF(ISNUMBER(VLOOKUP(LEFT(K164,3),'Material editor'!$D$11:$H$110,'Material editor'!$F$8,0)),VLOOKUP(LEFT(K164,3),'Material editor'!$D$11:$H$110,'Material editor'!$F$8,0),"")</f>
        <v/>
      </c>
      <c r="P164" s="137" t="str">
        <f>IF(ISNUMBER(VLOOKUP(LEFT(K164,3),'Material editor'!$D$11:$H$110,'Material editor'!$G$8,0)),VLOOKUP(LEFT(K164,3),'Material editor'!$D$11:$H$110,'Material editor'!$G$8,0),"")</f>
        <v/>
      </c>
      <c r="Q164" s="137" t="str">
        <f>IF(ISNUMBER(VLOOKUP(LEFT(K164,3),'Material editor'!$D$11:$H$110,'Material editor'!$H$8,0)),VLOOKUP(LEFT(K164,3),'Material editor'!$D$11:$H$110,'Material editor'!$H$8,0),"")</f>
        <v/>
      </c>
      <c r="R164" s="418"/>
      <c r="S164" s="407"/>
      <c r="T164" s="94"/>
      <c r="U164" s="136" t="str">
        <f>IF(ISNUMBER(VLOOKUP(LEFT(R164,3),'Material editor'!$D$11:$H$110,'Material editor'!$E$8,0)),VLOOKUP(LEFT(R164,3),'Material editor'!$D$11:$H$110,'Material editor'!$E$8,0),"")</f>
        <v/>
      </c>
      <c r="V164" s="137" t="str">
        <f>IF(ISNUMBER(VLOOKUP(LEFT(R164,3),'Material editor'!$D$11:$H$110,'Material editor'!$F$8,0)),VLOOKUP(LEFT(R164,3),'Material editor'!$D$11:$H$110,'Material editor'!$F$8,0),"")</f>
        <v/>
      </c>
      <c r="W164" s="137" t="str">
        <f>IF(ISNUMBER(VLOOKUP(LEFT(R164,3),'Material editor'!$D$11:$H$110,'Material editor'!$G$8,0)),VLOOKUP(LEFT(R164,3),'Material editor'!$D$11:$H$110,'Material editor'!$G$8,0),"")</f>
        <v/>
      </c>
      <c r="X164" s="137" t="str">
        <f>IF(ISNUMBER(VLOOKUP(LEFT(R164,3),'Material editor'!$D$11:$H$110,'Material editor'!$H$8,0)),VLOOKUP(LEFT(R164,3),'Material editor'!$D$11:$H$110,'Material editor'!$H$8,0),"")</f>
        <v/>
      </c>
      <c r="Y164" s="74"/>
      <c r="Z164" s="94">
        <v>15</v>
      </c>
      <c r="AA164" s="8"/>
      <c r="AB164" s="61"/>
      <c r="AC164" s="65"/>
      <c r="AD164" s="65"/>
      <c r="AE164" s="95">
        <f t="shared" si="116"/>
        <v>2.7777777777777776E-2</v>
      </c>
      <c r="AF164" s="95">
        <f t="shared" si="117"/>
        <v>2.7777777777777776E-2</v>
      </c>
      <c r="AG164" s="95">
        <f t="shared" si="118"/>
        <v>2.7777777777777776E-2</v>
      </c>
      <c r="AH164" s="65"/>
      <c r="AI164" s="95">
        <f t="shared" si="119"/>
        <v>0.54</v>
      </c>
      <c r="AJ164" s="95">
        <f t="shared" si="120"/>
        <v>0.54</v>
      </c>
      <c r="AK164" s="95">
        <f t="shared" si="121"/>
        <v>0.54</v>
      </c>
      <c r="AL164" s="65"/>
      <c r="AM164" s="96">
        <f t="shared" ref="AM164:AO164" si="126">AM163</f>
        <v>1</v>
      </c>
      <c r="AN164" s="96">
        <f t="shared" si="126"/>
        <v>0</v>
      </c>
      <c r="AO164" s="96">
        <f t="shared" si="126"/>
        <v>0</v>
      </c>
      <c r="AP164" s="65">
        <f t="shared" si="122"/>
        <v>2.7777777777777776E-2</v>
      </c>
      <c r="AQ164" s="65"/>
      <c r="AR164" s="65"/>
      <c r="AS164" s="65"/>
      <c r="AT164" s="95">
        <f>IF(ISNUMBER(H164),H164*F164*Z164/1000*Balance!$H$13/J164,0)</f>
        <v>4.6171785378174111</v>
      </c>
      <c r="AU164" s="95">
        <f>IF(ISTEXT(K164),IF(ISNUMBER(O164),O164*M164*Z164/1000*Balance!$H$13/Q164,0),AT164)</f>
        <v>4.6171785378174111</v>
      </c>
      <c r="AV164" s="95">
        <f>IF(ISTEXT(R164),IF(ISNUMBER(V164),V164*T164*Z164/1000*Balance!$H$13/X164,0),AT164)</f>
        <v>4.6171785378174111</v>
      </c>
      <c r="AW164" s="65"/>
      <c r="AX164" s="95">
        <f>AT164*AX160</f>
        <v>4.6171785378174111</v>
      </c>
      <c r="AY164" s="95">
        <f>AU164*AY160</f>
        <v>0</v>
      </c>
      <c r="AZ164" s="95">
        <f>AV164*AZ160</f>
        <v>0</v>
      </c>
      <c r="BA164" s="95">
        <f t="shared" si="124"/>
        <v>4.6171785378174111</v>
      </c>
      <c r="BB164" s="65"/>
      <c r="BC164" s="95">
        <f>IF(ISNUMBER(I164),I164*F164*Z164/1000*Balance!$H$13/J164,0)</f>
        <v>0.88832721792063762</v>
      </c>
      <c r="BD164" s="95">
        <f>IF(ISTEXT(K164),IF(ISNUMBER(P164),P164*M164*Z164/1000*Balance!$H$13/Q164,0),BC164)</f>
        <v>0.88832721792063762</v>
      </c>
      <c r="BE164" s="95">
        <f>IF(ISTEXT(R164),IF(ISNUMBER(W164),W164*T164*Z164/1000*Balance!$H$13/X164,0),BC164)</f>
        <v>0.88832721792063762</v>
      </c>
      <c r="BF164" s="65"/>
      <c r="BG164" s="95">
        <f>BC164*BG160</f>
        <v>0.88832721792063762</v>
      </c>
      <c r="BH164" s="95">
        <f>BD164*BH160</f>
        <v>0</v>
      </c>
      <c r="BI164" s="95">
        <f>BE164*BI160</f>
        <v>0</v>
      </c>
      <c r="BJ164" s="95">
        <f t="shared" si="125"/>
        <v>0.88832721792063762</v>
      </c>
      <c r="BK164" s="65"/>
      <c r="BL164" s="65"/>
      <c r="BM164" s="65"/>
    </row>
    <row r="165" spans="1:65" outlineLevel="1" x14ac:dyDescent="0.25">
      <c r="A165" s="61"/>
      <c r="B165" s="272"/>
      <c r="C165" s="91"/>
      <c r="D165" s="418"/>
      <c r="E165" s="419"/>
      <c r="F165" s="94"/>
      <c r="G165" s="136" t="str">
        <f>IF(ISNUMBER(VLOOKUP(LEFT(D165,3),'Material editor'!$D$11:$H$110,'Material editor'!$E$8,0)),VLOOKUP(LEFT(D165,3),'Material editor'!$D$11:$H$110,'Material editor'!$E$8,0),"")</f>
        <v/>
      </c>
      <c r="H165" s="137" t="str">
        <f>IF(ISNUMBER(VLOOKUP(LEFT(D165,3),'Material editor'!$D$11:$H$110,'Material editor'!$F$8,0)),VLOOKUP(LEFT(D165,3),'Material editor'!$D$11:$H$110,'Material editor'!$F$8,0),"")</f>
        <v/>
      </c>
      <c r="I165" s="137" t="str">
        <f>IF(ISNUMBER(VLOOKUP(LEFT(D165,3),'Material editor'!$D$11:$H$110,'Material editor'!$G$8,0)),VLOOKUP(LEFT(D165,3),'Material editor'!$D$11:$H$110,'Material editor'!$G$8,0),"")</f>
        <v/>
      </c>
      <c r="J165" s="137" t="str">
        <f>IF(ISNUMBER(VLOOKUP(LEFT(D165,3),'Material editor'!$D$11:$H$110,'Material editor'!$H$8,0)),VLOOKUP(LEFT(D165,3),'Material editor'!$D$11:$H$110,'Material editor'!$H$8,0),"")</f>
        <v/>
      </c>
      <c r="K165" s="418"/>
      <c r="L165" s="407"/>
      <c r="M165" s="94"/>
      <c r="N165" s="136" t="str">
        <f>IF(ISNUMBER(VLOOKUP(LEFT(K165,3),'Material editor'!$D$11:$H$110,'Material editor'!$E$8,0)),VLOOKUP(LEFT(K165,3),'Material editor'!$D$11:$H$110,'Material editor'!$E$8,0),"")</f>
        <v/>
      </c>
      <c r="O165" s="137" t="str">
        <f>IF(ISNUMBER(VLOOKUP(LEFT(K165,3),'Material editor'!$D$11:$H$110,'Material editor'!$F$8,0)),VLOOKUP(LEFT(K165,3),'Material editor'!$D$11:$H$110,'Material editor'!$F$8,0),"")</f>
        <v/>
      </c>
      <c r="P165" s="137" t="str">
        <f>IF(ISNUMBER(VLOOKUP(LEFT(K165,3),'Material editor'!$D$11:$H$110,'Material editor'!$G$8,0)),VLOOKUP(LEFT(K165,3),'Material editor'!$D$11:$H$110,'Material editor'!$G$8,0),"")</f>
        <v/>
      </c>
      <c r="Q165" s="137" t="str">
        <f>IF(ISNUMBER(VLOOKUP(LEFT(K165,3),'Material editor'!$D$11:$H$110,'Material editor'!$H$8,0)),VLOOKUP(LEFT(K165,3),'Material editor'!$D$11:$H$110,'Material editor'!$H$8,0),"")</f>
        <v/>
      </c>
      <c r="R165" s="418"/>
      <c r="S165" s="407"/>
      <c r="T165" s="94"/>
      <c r="U165" s="136" t="str">
        <f>IF(ISNUMBER(VLOOKUP(LEFT(R165,3),'Material editor'!$D$11:$H$110,'Material editor'!$E$8,0)),VLOOKUP(LEFT(R165,3),'Material editor'!$D$11:$H$110,'Material editor'!$E$8,0),"")</f>
        <v/>
      </c>
      <c r="V165" s="137" t="str">
        <f>IF(ISNUMBER(VLOOKUP(LEFT(R165,3),'Material editor'!$D$11:$H$110,'Material editor'!$F$8,0)),VLOOKUP(LEFT(R165,3),'Material editor'!$D$11:$H$110,'Material editor'!$F$8,0),"")</f>
        <v/>
      </c>
      <c r="W165" s="137" t="str">
        <f>IF(ISNUMBER(VLOOKUP(LEFT(R165,3),'Material editor'!$D$11:$H$110,'Material editor'!$G$8,0)),VLOOKUP(LEFT(R165,3),'Material editor'!$D$11:$H$110,'Material editor'!$G$8,0),"")</f>
        <v/>
      </c>
      <c r="X165" s="137" t="str">
        <f>IF(ISNUMBER(VLOOKUP(LEFT(R165,3),'Material editor'!$D$11:$H$110,'Material editor'!$H$8,0)),VLOOKUP(LEFT(R165,3),'Material editor'!$D$11:$H$110,'Material editor'!$H$8,0),"")</f>
        <v/>
      </c>
      <c r="Y165" s="74"/>
      <c r="Z165" s="94"/>
      <c r="AA165" s="8"/>
      <c r="AB165" s="61"/>
      <c r="AC165" s="65"/>
      <c r="AD165" s="65"/>
      <c r="AE165" s="95">
        <f t="shared" si="116"/>
        <v>0</v>
      </c>
      <c r="AF165" s="95">
        <f t="shared" si="117"/>
        <v>0</v>
      </c>
      <c r="AG165" s="95">
        <f t="shared" si="118"/>
        <v>0</v>
      </c>
      <c r="AH165" s="65"/>
      <c r="AI165" s="95">
        <f t="shared" si="119"/>
        <v>0</v>
      </c>
      <c r="AJ165" s="95">
        <f t="shared" si="120"/>
        <v>0</v>
      </c>
      <c r="AK165" s="95">
        <f t="shared" si="121"/>
        <v>0</v>
      </c>
      <c r="AL165" s="65"/>
      <c r="AM165" s="96">
        <f t="shared" ref="AM165:AO165" si="127">AM164</f>
        <v>1</v>
      </c>
      <c r="AN165" s="96">
        <f t="shared" si="127"/>
        <v>0</v>
      </c>
      <c r="AO165" s="96">
        <f t="shared" si="127"/>
        <v>0</v>
      </c>
      <c r="AP165" s="65">
        <f t="shared" si="122"/>
        <v>0</v>
      </c>
      <c r="AQ165" s="65"/>
      <c r="AR165" s="65"/>
      <c r="AS165" s="65"/>
      <c r="AT165" s="95">
        <f>IF(ISNUMBER(H165),H165*F165*Z165/1000*Balance!$H$13/J165,0)</f>
        <v>0</v>
      </c>
      <c r="AU165" s="95">
        <f>IF(ISTEXT(K165),IF(ISNUMBER(O165),O165*M165*Z165/1000*Balance!$H$13/Q165,0),AT165)</f>
        <v>0</v>
      </c>
      <c r="AV165" s="95">
        <f>IF(ISTEXT(R165),IF(ISNUMBER(V165),V165*T165*Z165/1000*Balance!$H$13/X165,0),AT165)</f>
        <v>0</v>
      </c>
      <c r="AW165" s="65"/>
      <c r="AX165" s="95">
        <f>AT165*AX160</f>
        <v>0</v>
      </c>
      <c r="AY165" s="95">
        <f>AU165*AY160</f>
        <v>0</v>
      </c>
      <c r="AZ165" s="95">
        <f>AV165*AZ160</f>
        <v>0</v>
      </c>
      <c r="BA165" s="95">
        <f t="shared" si="124"/>
        <v>0</v>
      </c>
      <c r="BB165" s="65"/>
      <c r="BC165" s="95">
        <f>IF(ISNUMBER(I165),I165*F165*Z165/1000*Balance!$H$13/J165,0)</f>
        <v>0</v>
      </c>
      <c r="BD165" s="95">
        <f>IF(ISTEXT(K165),IF(ISNUMBER(P165),P165*M165*Z165/1000*Balance!$H$13/Q165,0),BC165)</f>
        <v>0</v>
      </c>
      <c r="BE165" s="95">
        <f>IF(ISTEXT(R165),IF(ISNUMBER(W165),W165*T165*Z165/1000*Balance!$H$13/X165,0),BC165)</f>
        <v>0</v>
      </c>
      <c r="BF165" s="65"/>
      <c r="BG165" s="95">
        <f>BC165*BG160</f>
        <v>0</v>
      </c>
      <c r="BH165" s="95">
        <f>BD165*BH160</f>
        <v>0</v>
      </c>
      <c r="BI165" s="95">
        <f>BE165*BI160</f>
        <v>0</v>
      </c>
      <c r="BJ165" s="95">
        <f t="shared" si="125"/>
        <v>0</v>
      </c>
      <c r="BK165" s="65"/>
      <c r="BL165" s="65"/>
      <c r="BM165" s="65"/>
    </row>
    <row r="166" spans="1:65" outlineLevel="1" x14ac:dyDescent="0.25">
      <c r="A166" s="61"/>
      <c r="B166" s="272"/>
      <c r="C166" s="91"/>
      <c r="D166" s="418"/>
      <c r="E166" s="419"/>
      <c r="F166" s="94"/>
      <c r="G166" s="136" t="str">
        <f>IF(ISNUMBER(VLOOKUP(LEFT(D166,3),'Material editor'!$D$11:$H$110,'Material editor'!$E$8,0)),VLOOKUP(LEFT(D166,3),'Material editor'!$D$11:$H$110,'Material editor'!$E$8,0),"")</f>
        <v/>
      </c>
      <c r="H166" s="137" t="str">
        <f>IF(ISNUMBER(VLOOKUP(LEFT(D166,3),'Material editor'!$D$11:$H$110,'Material editor'!$F$8,0)),VLOOKUP(LEFT(D166,3),'Material editor'!$D$11:$H$110,'Material editor'!$F$8,0),"")</f>
        <v/>
      </c>
      <c r="I166" s="137" t="str">
        <f>IF(ISNUMBER(VLOOKUP(LEFT(D166,3),'Material editor'!$D$11:$H$110,'Material editor'!$G$8,0)),VLOOKUP(LEFT(D166,3),'Material editor'!$D$11:$H$110,'Material editor'!$G$8,0),"")</f>
        <v/>
      </c>
      <c r="J166" s="137" t="str">
        <f>IF(ISNUMBER(VLOOKUP(LEFT(D166,3),'Material editor'!$D$11:$H$110,'Material editor'!$H$8,0)),VLOOKUP(LEFT(D166,3),'Material editor'!$D$11:$H$110,'Material editor'!$H$8,0),"")</f>
        <v/>
      </c>
      <c r="K166" s="418"/>
      <c r="L166" s="407"/>
      <c r="M166" s="94"/>
      <c r="N166" s="136" t="str">
        <f>IF(ISNUMBER(VLOOKUP(LEFT(K166,3),'Material editor'!$D$11:$H$110,'Material editor'!$E$8,0)),VLOOKUP(LEFT(K166,3),'Material editor'!$D$11:$H$110,'Material editor'!$E$8,0),"")</f>
        <v/>
      </c>
      <c r="O166" s="137" t="str">
        <f>IF(ISNUMBER(VLOOKUP(LEFT(K166,3),'Material editor'!$D$11:$H$110,'Material editor'!$F$8,0)),VLOOKUP(LEFT(K166,3),'Material editor'!$D$11:$H$110,'Material editor'!$F$8,0),"")</f>
        <v/>
      </c>
      <c r="P166" s="137" t="str">
        <f>IF(ISNUMBER(VLOOKUP(LEFT(K166,3),'Material editor'!$D$11:$H$110,'Material editor'!$G$8,0)),VLOOKUP(LEFT(K166,3),'Material editor'!$D$11:$H$110,'Material editor'!$G$8,0),"")</f>
        <v/>
      </c>
      <c r="Q166" s="137" t="str">
        <f>IF(ISNUMBER(VLOOKUP(LEFT(K166,3),'Material editor'!$D$11:$H$110,'Material editor'!$H$8,0)),VLOOKUP(LEFT(K166,3),'Material editor'!$D$11:$H$110,'Material editor'!$H$8,0),"")</f>
        <v/>
      </c>
      <c r="R166" s="418"/>
      <c r="S166" s="407"/>
      <c r="T166" s="94"/>
      <c r="U166" s="136" t="str">
        <f>IF(ISNUMBER(VLOOKUP(LEFT(R166,3),'Material editor'!$D$11:$H$110,'Material editor'!$E$8,0)),VLOOKUP(LEFT(R166,3),'Material editor'!$D$11:$H$110,'Material editor'!$E$8,0),"")</f>
        <v/>
      </c>
      <c r="V166" s="137" t="str">
        <f>IF(ISNUMBER(VLOOKUP(LEFT(R166,3),'Material editor'!$D$11:$H$110,'Material editor'!$F$8,0)),VLOOKUP(LEFT(R166,3),'Material editor'!$D$11:$H$110,'Material editor'!$F$8,0),"")</f>
        <v/>
      </c>
      <c r="W166" s="137" t="str">
        <f>IF(ISNUMBER(VLOOKUP(LEFT(R166,3),'Material editor'!$D$11:$H$110,'Material editor'!$G$8,0)),VLOOKUP(LEFT(R166,3),'Material editor'!$D$11:$H$110,'Material editor'!$G$8,0),"")</f>
        <v/>
      </c>
      <c r="X166" s="137" t="str">
        <f>IF(ISNUMBER(VLOOKUP(LEFT(R166,3),'Material editor'!$D$11:$H$110,'Material editor'!$H$8,0)),VLOOKUP(LEFT(R166,3),'Material editor'!$D$11:$H$110,'Material editor'!$H$8,0),"")</f>
        <v/>
      </c>
      <c r="Y166" s="74"/>
      <c r="Z166" s="94"/>
      <c r="AA166" s="8"/>
      <c r="AB166" s="61"/>
      <c r="AC166" s="65"/>
      <c r="AD166" s="65"/>
      <c r="AE166" s="95">
        <f t="shared" si="116"/>
        <v>0</v>
      </c>
      <c r="AF166" s="95">
        <f t="shared" si="117"/>
        <v>0</v>
      </c>
      <c r="AG166" s="95">
        <f t="shared" si="118"/>
        <v>0</v>
      </c>
      <c r="AH166" s="65"/>
      <c r="AI166" s="95">
        <f t="shared" si="119"/>
        <v>0</v>
      </c>
      <c r="AJ166" s="95">
        <f t="shared" si="120"/>
        <v>0</v>
      </c>
      <c r="AK166" s="95">
        <f t="shared" si="121"/>
        <v>0</v>
      </c>
      <c r="AL166" s="65"/>
      <c r="AM166" s="96">
        <f t="shared" ref="AM166:AO166" si="128">AM165</f>
        <v>1</v>
      </c>
      <c r="AN166" s="96">
        <f t="shared" si="128"/>
        <v>0</v>
      </c>
      <c r="AO166" s="96">
        <f t="shared" si="128"/>
        <v>0</v>
      </c>
      <c r="AP166" s="65">
        <f t="shared" si="122"/>
        <v>0</v>
      </c>
      <c r="AQ166" s="65"/>
      <c r="AR166" s="65"/>
      <c r="AS166" s="65"/>
      <c r="AT166" s="95">
        <f>IF(ISNUMBER(H166),H166*F166*Z166/1000*Balance!$H$13/J166,0)</f>
        <v>0</v>
      </c>
      <c r="AU166" s="95">
        <f>IF(ISTEXT(K166),IF(ISNUMBER(O166),O166*M166*Z166/1000*Balance!$H$13/Q166,0),AT166)</f>
        <v>0</v>
      </c>
      <c r="AV166" s="95">
        <f>IF(ISTEXT(R166),IF(ISNUMBER(V166),V166*T166*Z166/1000*Balance!$H$13/X166,0),AT166)</f>
        <v>0</v>
      </c>
      <c r="AW166" s="65"/>
      <c r="AX166" s="95">
        <f>AT166*AX160</f>
        <v>0</v>
      </c>
      <c r="AY166" s="95">
        <f>AU166*AY160</f>
        <v>0</v>
      </c>
      <c r="AZ166" s="95">
        <f>AV166*AZ160</f>
        <v>0</v>
      </c>
      <c r="BA166" s="95">
        <f t="shared" si="124"/>
        <v>0</v>
      </c>
      <c r="BB166" s="65"/>
      <c r="BC166" s="95">
        <f>IF(ISNUMBER(I166),I166*F166*Z166/1000*Balance!$H$13/J166,0)</f>
        <v>0</v>
      </c>
      <c r="BD166" s="95">
        <f>IF(ISTEXT(K166),IF(ISNUMBER(P166),P166*M166*Z166/1000*Balance!$H$13/Q166,0),BC166)</f>
        <v>0</v>
      </c>
      <c r="BE166" s="95">
        <f>IF(ISTEXT(R166),IF(ISNUMBER(W166),W166*T166*Z166/1000*Balance!$H$13/X166,0),BC166)</f>
        <v>0</v>
      </c>
      <c r="BF166" s="65"/>
      <c r="BG166" s="95">
        <f>BC166*BG160</f>
        <v>0</v>
      </c>
      <c r="BH166" s="95">
        <f>BD166*BH160</f>
        <v>0</v>
      </c>
      <c r="BI166" s="95">
        <f>BE166*BI160</f>
        <v>0</v>
      </c>
      <c r="BJ166" s="95">
        <f t="shared" si="125"/>
        <v>0</v>
      </c>
      <c r="BK166" s="65"/>
      <c r="BL166" s="65"/>
      <c r="BM166" s="65"/>
    </row>
    <row r="167" spans="1:65" outlineLevel="1" x14ac:dyDescent="0.25">
      <c r="A167" s="61"/>
      <c r="B167" s="272"/>
      <c r="C167" s="91"/>
      <c r="D167" s="418"/>
      <c r="E167" s="419"/>
      <c r="F167" s="94"/>
      <c r="G167" s="136" t="str">
        <f>IF(ISNUMBER(VLOOKUP(LEFT(D167,3),'Material editor'!$D$11:$H$110,'Material editor'!$E$8,0)),VLOOKUP(LEFT(D167,3),'Material editor'!$D$11:$H$110,'Material editor'!$E$8,0),"")</f>
        <v/>
      </c>
      <c r="H167" s="137" t="str">
        <f>IF(ISNUMBER(VLOOKUP(LEFT(D167,3),'Material editor'!$D$11:$H$110,'Material editor'!$F$8,0)),VLOOKUP(LEFT(D167,3),'Material editor'!$D$11:$H$110,'Material editor'!$F$8,0),"")</f>
        <v/>
      </c>
      <c r="I167" s="137" t="str">
        <f>IF(ISNUMBER(VLOOKUP(LEFT(D167,3),'Material editor'!$D$11:$H$110,'Material editor'!$G$8,0)),VLOOKUP(LEFT(D167,3),'Material editor'!$D$11:$H$110,'Material editor'!$G$8,0),"")</f>
        <v/>
      </c>
      <c r="J167" s="137" t="str">
        <f>IF(ISNUMBER(VLOOKUP(LEFT(D167,3),'Material editor'!$D$11:$H$110,'Material editor'!$H$8,0)),VLOOKUP(LEFT(D167,3),'Material editor'!$D$11:$H$110,'Material editor'!$H$8,0),"")</f>
        <v/>
      </c>
      <c r="K167" s="418"/>
      <c r="L167" s="407"/>
      <c r="M167" s="94"/>
      <c r="N167" s="136" t="str">
        <f>IF(ISNUMBER(VLOOKUP(LEFT(K167,3),'Material editor'!$D$11:$H$110,'Material editor'!$E$8,0)),VLOOKUP(LEFT(K167,3),'Material editor'!$D$11:$H$110,'Material editor'!$E$8,0),"")</f>
        <v/>
      </c>
      <c r="O167" s="137" t="str">
        <f>IF(ISNUMBER(VLOOKUP(LEFT(K167,3),'Material editor'!$D$11:$H$110,'Material editor'!$F$8,0)),VLOOKUP(LEFT(K167,3),'Material editor'!$D$11:$H$110,'Material editor'!$F$8,0),"")</f>
        <v/>
      </c>
      <c r="P167" s="137" t="str">
        <f>IF(ISNUMBER(VLOOKUP(LEFT(K167,3),'Material editor'!$D$11:$H$110,'Material editor'!$G$8,0)),VLOOKUP(LEFT(K167,3),'Material editor'!$D$11:$H$110,'Material editor'!$G$8,0),"")</f>
        <v/>
      </c>
      <c r="Q167" s="137" t="str">
        <f>IF(ISNUMBER(VLOOKUP(LEFT(K167,3),'Material editor'!$D$11:$H$110,'Material editor'!$H$8,0)),VLOOKUP(LEFT(K167,3),'Material editor'!$D$11:$H$110,'Material editor'!$H$8,0),"")</f>
        <v/>
      </c>
      <c r="R167" s="418"/>
      <c r="S167" s="407"/>
      <c r="T167" s="94"/>
      <c r="U167" s="136" t="str">
        <f>IF(ISNUMBER(VLOOKUP(LEFT(R167,3),'Material editor'!$D$11:$H$110,'Material editor'!$E$8,0)),VLOOKUP(LEFT(R167,3),'Material editor'!$D$11:$H$110,'Material editor'!$E$8,0),"")</f>
        <v/>
      </c>
      <c r="V167" s="137" t="str">
        <f>IF(ISNUMBER(VLOOKUP(LEFT(R167,3),'Material editor'!$D$11:$H$110,'Material editor'!$F$8,0)),VLOOKUP(LEFT(R167,3),'Material editor'!$D$11:$H$110,'Material editor'!$F$8,0),"")</f>
        <v/>
      </c>
      <c r="W167" s="137" t="str">
        <f>IF(ISNUMBER(VLOOKUP(LEFT(R167,3),'Material editor'!$D$11:$H$110,'Material editor'!$G$8,0)),VLOOKUP(LEFT(R167,3),'Material editor'!$D$11:$H$110,'Material editor'!$G$8,0),"")</f>
        <v/>
      </c>
      <c r="X167" s="137" t="str">
        <f>IF(ISNUMBER(VLOOKUP(LEFT(R167,3),'Material editor'!$D$11:$H$110,'Material editor'!$H$8,0)),VLOOKUP(LEFT(R167,3),'Material editor'!$D$11:$H$110,'Material editor'!$H$8,0),"")</f>
        <v/>
      </c>
      <c r="Y167" s="74"/>
      <c r="Z167" s="94"/>
      <c r="AA167" s="8"/>
      <c r="AB167" s="61"/>
      <c r="AC167" s="65"/>
      <c r="AD167" s="65"/>
      <c r="AE167" s="95">
        <f t="shared" si="116"/>
        <v>0</v>
      </c>
      <c r="AF167" s="95">
        <f t="shared" si="117"/>
        <v>0</v>
      </c>
      <c r="AG167" s="95">
        <f t="shared" si="118"/>
        <v>0</v>
      </c>
      <c r="AH167" s="65"/>
      <c r="AI167" s="95">
        <f t="shared" si="119"/>
        <v>0</v>
      </c>
      <c r="AJ167" s="95">
        <f t="shared" si="120"/>
        <v>0</v>
      </c>
      <c r="AK167" s="95">
        <f t="shared" si="121"/>
        <v>0</v>
      </c>
      <c r="AL167" s="65"/>
      <c r="AM167" s="96">
        <f t="shared" ref="AM167:AO167" si="129">AM166</f>
        <v>1</v>
      </c>
      <c r="AN167" s="96">
        <f t="shared" si="129"/>
        <v>0</v>
      </c>
      <c r="AO167" s="96">
        <f t="shared" si="129"/>
        <v>0</v>
      </c>
      <c r="AP167" s="65">
        <f t="shared" si="122"/>
        <v>0</v>
      </c>
      <c r="AQ167" s="65"/>
      <c r="AR167" s="65"/>
      <c r="AS167" s="66"/>
      <c r="AT167" s="95">
        <f>IF(ISNUMBER(H167),H167*F167*Z167/1000*Balance!$H$13/J167,0)</f>
        <v>0</v>
      </c>
      <c r="AU167" s="95">
        <f>IF(ISTEXT(K167),IF(ISNUMBER(O167),O167*M167*Z167/1000*Balance!$H$13/Q167,0),AT167)</f>
        <v>0</v>
      </c>
      <c r="AV167" s="95">
        <f>IF(ISTEXT(R167),IF(ISNUMBER(V167),V167*T167*Z167/1000*Balance!$H$13/X167,0),AT167)</f>
        <v>0</v>
      </c>
      <c r="AW167" s="66"/>
      <c r="AX167" s="95">
        <f>AT167*AX160</f>
        <v>0</v>
      </c>
      <c r="AY167" s="95">
        <f>AU167*AY160</f>
        <v>0</v>
      </c>
      <c r="AZ167" s="95">
        <f>AV167*AZ160</f>
        <v>0</v>
      </c>
      <c r="BA167" s="95">
        <f t="shared" si="124"/>
        <v>0</v>
      </c>
      <c r="BB167" s="66"/>
      <c r="BC167" s="95">
        <f>IF(ISNUMBER(I167),I167*F167*Z167/1000*Balance!$H$13/J167,0)</f>
        <v>0</v>
      </c>
      <c r="BD167" s="95">
        <f>IF(ISTEXT(K167),IF(ISNUMBER(P167),P167*M167*Z167/1000*Balance!$H$13/Q167,0),BC167)</f>
        <v>0</v>
      </c>
      <c r="BE167" s="95">
        <f>IF(ISTEXT(R167),IF(ISNUMBER(W167),W167*T167*Z167/1000*Balance!$H$13/X167,0),BC167)</f>
        <v>0</v>
      </c>
      <c r="BF167" s="66"/>
      <c r="BG167" s="95">
        <f>BC167*BG160</f>
        <v>0</v>
      </c>
      <c r="BH167" s="95">
        <f>BD167*BH160</f>
        <v>0</v>
      </c>
      <c r="BI167" s="95">
        <f>BE167*BI160</f>
        <v>0</v>
      </c>
      <c r="BJ167" s="95">
        <f t="shared" si="125"/>
        <v>0</v>
      </c>
      <c r="BK167" s="66"/>
      <c r="BL167" s="66"/>
      <c r="BM167" s="66"/>
    </row>
    <row r="168" spans="1:65" outlineLevel="1" x14ac:dyDescent="0.25">
      <c r="A168" s="61"/>
      <c r="B168" s="272"/>
      <c r="C168" s="91"/>
      <c r="D168" s="418"/>
      <c r="E168" s="419"/>
      <c r="F168" s="94"/>
      <c r="G168" s="136" t="str">
        <f>IF(ISNUMBER(VLOOKUP(LEFT(D168,3),'Material editor'!$D$11:$H$110,'Material editor'!$E$8,0)),VLOOKUP(LEFT(D168,3),'Material editor'!$D$11:$H$110,'Material editor'!$E$8,0),"")</f>
        <v/>
      </c>
      <c r="H168" s="137" t="str">
        <f>IF(ISNUMBER(VLOOKUP(LEFT(D168,3),'Material editor'!$D$11:$H$110,'Material editor'!$F$8,0)),VLOOKUP(LEFT(D168,3),'Material editor'!$D$11:$H$110,'Material editor'!$F$8,0),"")</f>
        <v/>
      </c>
      <c r="I168" s="137" t="str">
        <f>IF(ISNUMBER(VLOOKUP(LEFT(D168,3),'Material editor'!$D$11:$H$110,'Material editor'!$G$8,0)),VLOOKUP(LEFT(D168,3),'Material editor'!$D$11:$H$110,'Material editor'!$G$8,0),"")</f>
        <v/>
      </c>
      <c r="J168" s="137" t="str">
        <f>IF(ISNUMBER(VLOOKUP(LEFT(D168,3),'Material editor'!$D$11:$H$110,'Material editor'!$H$8,0)),VLOOKUP(LEFT(D168,3),'Material editor'!$D$11:$H$110,'Material editor'!$H$8,0),"")</f>
        <v/>
      </c>
      <c r="K168" s="418"/>
      <c r="L168" s="407"/>
      <c r="M168" s="94"/>
      <c r="N168" s="136" t="str">
        <f>IF(ISNUMBER(VLOOKUP(LEFT(K168,3),'Material editor'!$D$11:$H$110,'Material editor'!$E$8,0)),VLOOKUP(LEFT(K168,3),'Material editor'!$D$11:$H$110,'Material editor'!$E$8,0),"")</f>
        <v/>
      </c>
      <c r="O168" s="137" t="str">
        <f>IF(ISNUMBER(VLOOKUP(LEFT(K168,3),'Material editor'!$D$11:$H$110,'Material editor'!$F$8,0)),VLOOKUP(LEFT(K168,3),'Material editor'!$D$11:$H$110,'Material editor'!$F$8,0),"")</f>
        <v/>
      </c>
      <c r="P168" s="137" t="str">
        <f>IF(ISNUMBER(VLOOKUP(LEFT(K168,3),'Material editor'!$D$11:$H$110,'Material editor'!$G$8,0)),VLOOKUP(LEFT(K168,3),'Material editor'!$D$11:$H$110,'Material editor'!$G$8,0),"")</f>
        <v/>
      </c>
      <c r="Q168" s="137" t="str">
        <f>IF(ISNUMBER(VLOOKUP(LEFT(K168,3),'Material editor'!$D$11:$H$110,'Material editor'!$H$8,0)),VLOOKUP(LEFT(K168,3),'Material editor'!$D$11:$H$110,'Material editor'!$H$8,0),"")</f>
        <v/>
      </c>
      <c r="R168" s="418"/>
      <c r="S168" s="407"/>
      <c r="T168" s="94"/>
      <c r="U168" s="136" t="str">
        <f>IF(ISNUMBER(VLOOKUP(LEFT(R168,3),'Material editor'!$D$11:$H$110,'Material editor'!$E$8,0)),VLOOKUP(LEFT(R168,3),'Material editor'!$D$11:$H$110,'Material editor'!$E$8,0),"")</f>
        <v/>
      </c>
      <c r="V168" s="137" t="str">
        <f>IF(ISNUMBER(VLOOKUP(LEFT(R168,3),'Material editor'!$D$11:$H$110,'Material editor'!$F$8,0)),VLOOKUP(LEFT(R168,3),'Material editor'!$D$11:$H$110,'Material editor'!$F$8,0),"")</f>
        <v/>
      </c>
      <c r="W168" s="137" t="str">
        <f>IF(ISNUMBER(VLOOKUP(LEFT(R168,3),'Material editor'!$D$11:$H$110,'Material editor'!$G$8,0)),VLOOKUP(LEFT(R168,3),'Material editor'!$D$11:$H$110,'Material editor'!$G$8,0),"")</f>
        <v/>
      </c>
      <c r="X168" s="137" t="str">
        <f>IF(ISNUMBER(VLOOKUP(LEFT(R168,3),'Material editor'!$D$11:$H$110,'Material editor'!$H$8,0)),VLOOKUP(LEFT(R168,3),'Material editor'!$D$11:$H$110,'Material editor'!$H$8,0),"")</f>
        <v/>
      </c>
      <c r="Y168" s="74"/>
      <c r="Z168" s="94"/>
      <c r="AA168" s="8"/>
      <c r="AB168" s="61"/>
      <c r="AC168" s="65"/>
      <c r="AD168" s="65"/>
      <c r="AE168" s="95">
        <f t="shared" si="116"/>
        <v>0</v>
      </c>
      <c r="AF168" s="95">
        <f t="shared" si="117"/>
        <v>0</v>
      </c>
      <c r="AG168" s="95">
        <f t="shared" si="118"/>
        <v>0</v>
      </c>
      <c r="AH168" s="65"/>
      <c r="AI168" s="95">
        <f t="shared" si="119"/>
        <v>0</v>
      </c>
      <c r="AJ168" s="95">
        <f t="shared" si="120"/>
        <v>0</v>
      </c>
      <c r="AK168" s="95">
        <f t="shared" si="121"/>
        <v>0</v>
      </c>
      <c r="AL168" s="65"/>
      <c r="AM168" s="96">
        <f t="shared" ref="AM168:AO168" si="130">AM167</f>
        <v>1</v>
      </c>
      <c r="AN168" s="96">
        <f t="shared" si="130"/>
        <v>0</v>
      </c>
      <c r="AO168" s="96">
        <f t="shared" si="130"/>
        <v>0</v>
      </c>
      <c r="AP168" s="65">
        <f t="shared" si="122"/>
        <v>0</v>
      </c>
      <c r="AQ168" s="65"/>
      <c r="AR168" s="65"/>
      <c r="AS168" s="66"/>
      <c r="AT168" s="95">
        <f>IF(ISNUMBER(H168),H168*F168*Z168/1000*Balance!$H$13/J168,0)</f>
        <v>0</v>
      </c>
      <c r="AU168" s="95">
        <f>IF(ISTEXT(K168),IF(ISNUMBER(O168),O168*M168*Z168/1000*Balance!$H$13/Q168,0),AT168)</f>
        <v>0</v>
      </c>
      <c r="AV168" s="95">
        <f>IF(ISTEXT(R168),IF(ISNUMBER(V168),V168*T168*Z168/1000*Balance!$H$13/X168,0),AT168)</f>
        <v>0</v>
      </c>
      <c r="AW168" s="66"/>
      <c r="AX168" s="95">
        <f>AT168*AX160</f>
        <v>0</v>
      </c>
      <c r="AY168" s="95">
        <f>AU168*AY160</f>
        <v>0</v>
      </c>
      <c r="AZ168" s="95">
        <f>AV168*AZ160</f>
        <v>0</v>
      </c>
      <c r="BA168" s="95">
        <f t="shared" si="124"/>
        <v>0</v>
      </c>
      <c r="BB168" s="66"/>
      <c r="BC168" s="95">
        <f>IF(ISNUMBER(I168),I168*F168*Z168/1000*Balance!$H$13/J168,0)</f>
        <v>0</v>
      </c>
      <c r="BD168" s="95">
        <f>IF(ISTEXT(K168),IF(ISNUMBER(P168),P168*M168*Z168/1000*Balance!$H$13/Q168,0),BC168)</f>
        <v>0</v>
      </c>
      <c r="BE168" s="95">
        <f>IF(ISTEXT(R168),IF(ISNUMBER(W168),W168*T168*Z168/1000*Balance!$H$13/X168,0),BC168)</f>
        <v>0</v>
      </c>
      <c r="BF168" s="66"/>
      <c r="BG168" s="95">
        <f>BC168*BG160</f>
        <v>0</v>
      </c>
      <c r="BH168" s="95">
        <f>BD168*BH160</f>
        <v>0</v>
      </c>
      <c r="BI168" s="95">
        <f>BE168*BI160</f>
        <v>0</v>
      </c>
      <c r="BJ168" s="95">
        <f t="shared" si="125"/>
        <v>0</v>
      </c>
      <c r="BK168" s="66"/>
      <c r="BL168" s="66"/>
      <c r="BM168" s="66"/>
    </row>
    <row r="169" spans="1:65" outlineLevel="1" x14ac:dyDescent="0.25">
      <c r="A169" s="61"/>
      <c r="B169" s="272"/>
      <c r="C169" s="91"/>
      <c r="D169" s="420"/>
      <c r="E169" s="421"/>
      <c r="F169" s="94"/>
      <c r="G169" s="136" t="str">
        <f>IF(ISNUMBER(VLOOKUP(LEFT(D169,3),'Material editor'!$D$11:$H$110,'Material editor'!$E$8,0)),VLOOKUP(LEFT(D169,3),'Material editor'!$D$11:$H$110,'Material editor'!$E$8,0),"")</f>
        <v/>
      </c>
      <c r="H169" s="137" t="str">
        <f>IF(ISNUMBER(VLOOKUP(LEFT(D169,3),'Material editor'!$D$11:$H$110,'Material editor'!$F$8,0)),VLOOKUP(LEFT(D169,3),'Material editor'!$D$11:$H$110,'Material editor'!$F$8,0),"")</f>
        <v/>
      </c>
      <c r="I169" s="137" t="str">
        <f>IF(ISNUMBER(VLOOKUP(LEFT(D169,3),'Material editor'!$D$11:$H$110,'Material editor'!$G$8,0)),VLOOKUP(LEFT(D169,3),'Material editor'!$D$11:$H$110,'Material editor'!$G$8,0),"")</f>
        <v/>
      </c>
      <c r="J169" s="137" t="str">
        <f>IF(ISNUMBER(VLOOKUP(LEFT(D169,3),'Material editor'!$D$11:$H$110,'Material editor'!$H$8,0)),VLOOKUP(LEFT(D169,3),'Material editor'!$D$11:$H$110,'Material editor'!$H$8,0),"")</f>
        <v/>
      </c>
      <c r="K169" s="418"/>
      <c r="L169" s="407"/>
      <c r="M169" s="94"/>
      <c r="N169" s="136" t="str">
        <f>IF(ISNUMBER(VLOOKUP(LEFT(K169,3),'Material editor'!$D$11:$H$110,'Material editor'!$E$8,0)),VLOOKUP(LEFT(K169,3),'Material editor'!$D$11:$H$110,'Material editor'!$E$8,0),"")</f>
        <v/>
      </c>
      <c r="O169" s="137" t="str">
        <f>IF(ISNUMBER(VLOOKUP(LEFT(K169,3),'Material editor'!$D$11:$H$110,'Material editor'!$F$8,0)),VLOOKUP(LEFT(K169,3),'Material editor'!$D$11:$H$110,'Material editor'!$F$8,0),"")</f>
        <v/>
      </c>
      <c r="P169" s="137" t="str">
        <f>IF(ISNUMBER(VLOOKUP(LEFT(K169,3),'Material editor'!$D$11:$H$110,'Material editor'!$G$8,0)),VLOOKUP(LEFT(K169,3),'Material editor'!$D$11:$H$110,'Material editor'!$G$8,0),"")</f>
        <v/>
      </c>
      <c r="Q169" s="137" t="str">
        <f>IF(ISNUMBER(VLOOKUP(LEFT(K169,3),'Material editor'!$D$11:$H$110,'Material editor'!$H$8,0)),VLOOKUP(LEFT(K169,3),'Material editor'!$D$11:$H$110,'Material editor'!$H$8,0),"")</f>
        <v/>
      </c>
      <c r="R169" s="418"/>
      <c r="S169" s="407"/>
      <c r="T169" s="94"/>
      <c r="U169" s="136" t="str">
        <f>IF(ISNUMBER(VLOOKUP(LEFT(R169,3),'Material editor'!$D$11:$H$110,'Material editor'!$E$8,0)),VLOOKUP(LEFT(R169,3),'Material editor'!$D$11:$H$110,'Material editor'!$E$8,0),"")</f>
        <v/>
      </c>
      <c r="V169" s="137" t="str">
        <f>IF(ISNUMBER(VLOOKUP(LEFT(R169,3),'Material editor'!$D$11:$H$110,'Material editor'!$F$8,0)),VLOOKUP(LEFT(R169,3),'Material editor'!$D$11:$H$110,'Material editor'!$F$8,0),"")</f>
        <v/>
      </c>
      <c r="W169" s="137" t="str">
        <f>IF(ISNUMBER(VLOOKUP(LEFT(R169,3),'Material editor'!$D$11:$H$110,'Material editor'!$G$8,0)),VLOOKUP(LEFT(R169,3),'Material editor'!$D$11:$H$110,'Material editor'!$G$8,0),"")</f>
        <v/>
      </c>
      <c r="X169" s="137" t="str">
        <f>IF(ISNUMBER(VLOOKUP(LEFT(R169,3),'Material editor'!$D$11:$H$110,'Material editor'!$H$8,0)),VLOOKUP(LEFT(R169,3),'Material editor'!$D$11:$H$110,'Material editor'!$H$8,0),"")</f>
        <v/>
      </c>
      <c r="Y169" s="74"/>
      <c r="Z169" s="94"/>
      <c r="AA169" s="8"/>
      <c r="AB169" s="61"/>
      <c r="AC169" s="65"/>
      <c r="AD169" s="65"/>
      <c r="AE169" s="95">
        <f t="shared" si="116"/>
        <v>0</v>
      </c>
      <c r="AF169" s="95">
        <f t="shared" si="117"/>
        <v>0</v>
      </c>
      <c r="AG169" s="95">
        <f t="shared" si="118"/>
        <v>0</v>
      </c>
      <c r="AH169" s="65"/>
      <c r="AI169" s="95">
        <f>IF(ISNUMBER(G169),G169,0)</f>
        <v>0</v>
      </c>
      <c r="AJ169" s="95">
        <f t="shared" si="120"/>
        <v>0</v>
      </c>
      <c r="AK169" s="95">
        <f t="shared" si="121"/>
        <v>0</v>
      </c>
      <c r="AL169" s="65"/>
      <c r="AM169" s="96">
        <f t="shared" ref="AM169:AO169" si="131">AM168</f>
        <v>1</v>
      </c>
      <c r="AN169" s="96">
        <f t="shared" si="131"/>
        <v>0</v>
      </c>
      <c r="AO169" s="96">
        <f t="shared" si="131"/>
        <v>0</v>
      </c>
      <c r="AP169" s="65">
        <f t="shared" si="122"/>
        <v>0</v>
      </c>
      <c r="AQ169" s="65"/>
      <c r="AR169" s="65"/>
      <c r="AS169" s="66"/>
      <c r="AT169" s="95">
        <f>IF(ISNUMBER(H169),H169*F169*Z169/1000*Balance!$H$13/J169,0)</f>
        <v>0</v>
      </c>
      <c r="AU169" s="95">
        <f>IF(ISTEXT(K169),IF(ISNUMBER(O169),O169*M169*Z169/1000*Balance!$H$13/Q169,0),AT169)</f>
        <v>0</v>
      </c>
      <c r="AV169" s="95">
        <f>IF(ISTEXT(R169),IF(ISNUMBER(V169),V169*T169*Z169/1000*Balance!$H$13/X169,0),AT169)</f>
        <v>0</v>
      </c>
      <c r="AW169" s="66"/>
      <c r="AX169" s="95">
        <f>AT169*AX160</f>
        <v>0</v>
      </c>
      <c r="AY169" s="95">
        <f>AU169*AY160</f>
        <v>0</v>
      </c>
      <c r="AZ169" s="95">
        <f>AV169*AZ160</f>
        <v>0</v>
      </c>
      <c r="BA169" s="95">
        <f t="shared" si="124"/>
        <v>0</v>
      </c>
      <c r="BB169" s="66"/>
      <c r="BC169" s="95">
        <f>IF(ISNUMBER(I169),I169*F169*Z169/1000*Balance!$H$13/J169,0)</f>
        <v>0</v>
      </c>
      <c r="BD169" s="95">
        <f>IF(ISTEXT(K169),IF(ISNUMBER(P169),P169*M169*Z169/1000*Balance!$H$13/Q169,0),BC169)</f>
        <v>0</v>
      </c>
      <c r="BE169" s="95">
        <f>IF(ISTEXT(R169),IF(ISNUMBER(W169),W169*T169*Z169/1000*Balance!$H$13/X169,0),BC169)</f>
        <v>0</v>
      </c>
      <c r="BF169" s="66"/>
      <c r="BG169" s="95">
        <f>BC169*BG160</f>
        <v>0</v>
      </c>
      <c r="BH169" s="95">
        <f>BD169*BH160</f>
        <v>0</v>
      </c>
      <c r="BI169" s="95">
        <f>BE169*BI160</f>
        <v>0</v>
      </c>
      <c r="BJ169" s="95">
        <f t="shared" si="125"/>
        <v>0</v>
      </c>
      <c r="BK169" s="66"/>
      <c r="BL169" s="66"/>
      <c r="BM169" s="66"/>
    </row>
    <row r="170" spans="1:65" outlineLevel="1" x14ac:dyDescent="0.25">
      <c r="A170" s="61"/>
      <c r="B170" s="272"/>
      <c r="C170" s="77"/>
      <c r="D170" s="125">
        <f>MAX(0,1-K170-R170)</f>
        <v>1</v>
      </c>
      <c r="E170" s="360" t="s">
        <v>141</v>
      </c>
      <c r="F170" s="126"/>
      <c r="H170" s="97"/>
      <c r="I170" s="97"/>
      <c r="J170" s="97"/>
      <c r="K170" s="100"/>
      <c r="L170" s="126" t="s">
        <v>138</v>
      </c>
      <c r="M170" s="126"/>
      <c r="R170" s="100"/>
      <c r="S170" s="126" t="s">
        <v>139</v>
      </c>
      <c r="T170" s="126"/>
      <c r="V170" s="67"/>
      <c r="Y170" s="74"/>
      <c r="Z170" s="5" t="s">
        <v>140</v>
      </c>
      <c r="AA170" s="8"/>
      <c r="AB170" s="61"/>
      <c r="AC170" s="98"/>
      <c r="AD170" s="98" t="s">
        <v>124</v>
      </c>
      <c r="AE170" s="99">
        <f>IF(ISNUMBER($G162),1/($D157+SUM(AE162:AE169)+$D158),0)</f>
        <v>2.9363784665579118</v>
      </c>
      <c r="AF170" s="99">
        <f>IF(ISNUMBER($G162),1/($D157+SUM(AF162:AF169)+$D158),0)</f>
        <v>2.9363784665579118</v>
      </c>
      <c r="AG170" s="99">
        <f>IF(ISNUMBER($G162),1/($D157+SUM(AG162:AG169)+$D158),0)</f>
        <v>2.9363784665579118</v>
      </c>
      <c r="AH170" s="65"/>
      <c r="AI170" s="65"/>
      <c r="AJ170" s="65"/>
      <c r="AK170" s="65"/>
      <c r="AL170" s="65"/>
      <c r="AM170" s="65"/>
      <c r="AN170" s="65"/>
      <c r="AO170" s="65"/>
      <c r="AP170" s="65"/>
      <c r="AQ170" s="65"/>
      <c r="AR170" s="65"/>
      <c r="AS170" s="66"/>
      <c r="AT170" s="66"/>
      <c r="AU170" s="66"/>
      <c r="AV170" s="66"/>
      <c r="AW170" s="66"/>
      <c r="AX170" s="66"/>
      <c r="AY170" s="66"/>
      <c r="AZ170" s="66"/>
      <c r="BA170" s="66"/>
      <c r="BB170" s="66"/>
      <c r="BC170" s="66"/>
      <c r="BD170" s="66"/>
      <c r="BE170" s="66"/>
      <c r="BF170" s="66"/>
      <c r="BG170" s="66"/>
      <c r="BH170" s="66"/>
      <c r="BI170" s="66"/>
      <c r="BJ170" s="66"/>
      <c r="BK170" s="66"/>
      <c r="BL170" s="66"/>
      <c r="BM170" s="66"/>
    </row>
    <row r="171" spans="1:65" outlineLevel="1" x14ac:dyDescent="0.25">
      <c r="A171" s="61"/>
      <c r="B171" s="272"/>
      <c r="C171" s="77"/>
      <c r="D171" s="41"/>
      <c r="E171" s="116" t="s">
        <v>150</v>
      </c>
      <c r="F171" s="116"/>
      <c r="H171" s="68"/>
      <c r="I171" s="68"/>
      <c r="J171" s="68"/>
      <c r="K171" s="157" t="str">
        <f>IF(AE177&lt;=0.1,"","Der Fehler der U-Wert-Berechnung liegt möglicherweise über 10 %. Wärmebrückenberechnung?")</f>
        <v/>
      </c>
      <c r="L171" s="68"/>
      <c r="M171" s="68"/>
      <c r="N171" s="68"/>
      <c r="R171" s="5"/>
      <c r="S171" s="5"/>
      <c r="T171" s="5"/>
      <c r="U171" s="68"/>
      <c r="V171" s="68"/>
      <c r="X171" s="68"/>
      <c r="Y171" s="5"/>
      <c r="Z171" s="189">
        <f>IF(ISNUMBER(Z162),SUM(Z162:Z170)/10,"")</f>
        <v>14.5</v>
      </c>
      <c r="AA171" s="10" t="s">
        <v>8</v>
      </c>
      <c r="AB171" s="61"/>
      <c r="AC171" s="98"/>
      <c r="AD171" s="98" t="s">
        <v>125</v>
      </c>
      <c r="AE171" s="101">
        <f>1-SUM(AF171:AG171)</f>
        <v>1</v>
      </c>
      <c r="AF171" s="102">
        <f>K170</f>
        <v>0</v>
      </c>
      <c r="AG171" s="102">
        <f>R170</f>
        <v>0</v>
      </c>
      <c r="AH171" s="98"/>
      <c r="AI171" s="65"/>
      <c r="AJ171" s="65"/>
      <c r="AK171" s="65"/>
      <c r="AL171" s="65"/>
      <c r="AM171" s="65"/>
      <c r="AN171" s="65"/>
      <c r="AO171" s="65"/>
      <c r="AP171" s="65"/>
      <c r="AQ171" s="65"/>
      <c r="AR171" s="65" t="s">
        <v>393</v>
      </c>
      <c r="AS171" s="148"/>
      <c r="AT171" s="175" t="s">
        <v>393</v>
      </c>
      <c r="AU171" s="65" t="s">
        <v>366</v>
      </c>
      <c r="AV171" s="65" t="s">
        <v>355</v>
      </c>
      <c r="AW171" s="66"/>
      <c r="AX171" s="65" t="s">
        <v>394</v>
      </c>
      <c r="AY171" s="65" t="s">
        <v>356</v>
      </c>
      <c r="AZ171" s="66"/>
      <c r="BA171" s="66"/>
      <c r="BB171" s="66"/>
      <c r="BC171" s="66"/>
      <c r="BD171" s="66"/>
      <c r="BE171" s="66"/>
      <c r="BF171" s="66"/>
      <c r="BG171" s="66"/>
      <c r="BH171" s="66"/>
      <c r="BI171" s="66"/>
      <c r="BJ171" s="66"/>
      <c r="BK171" s="66"/>
      <c r="BL171" s="66"/>
      <c r="BM171" s="66"/>
    </row>
    <row r="172" spans="1:65" outlineLevel="1" x14ac:dyDescent="0.25">
      <c r="A172" s="61"/>
      <c r="B172" s="272"/>
      <c r="C172" s="77"/>
      <c r="D172" s="68"/>
      <c r="E172" s="68"/>
      <c r="F172" s="68"/>
      <c r="G172" s="68"/>
      <c r="H172" s="68"/>
      <c r="I172" s="68"/>
      <c r="J172" s="68"/>
      <c r="K172" s="68"/>
      <c r="L172" s="68"/>
      <c r="M172" s="68"/>
      <c r="N172" s="68"/>
      <c r="O172" s="68"/>
      <c r="P172" s="68"/>
      <c r="Q172" s="68"/>
      <c r="R172" s="68"/>
      <c r="T172" s="68"/>
      <c r="U172" s="68"/>
      <c r="V172" s="68"/>
      <c r="W172" s="68"/>
      <c r="X172" s="68"/>
      <c r="Y172" s="5"/>
      <c r="Z172" s="67"/>
      <c r="AA172" s="8"/>
      <c r="AB172" s="61"/>
      <c r="AC172" s="101"/>
      <c r="AD172" s="101"/>
      <c r="AE172" s="99"/>
      <c r="AF172" s="99"/>
      <c r="AG172" s="99"/>
      <c r="AH172" s="65"/>
      <c r="AI172" s="65"/>
      <c r="AJ172" s="65"/>
      <c r="AK172" s="65"/>
      <c r="AL172" s="65"/>
      <c r="AM172" s="65"/>
      <c r="AN172" s="65"/>
      <c r="AO172" s="65"/>
      <c r="AP172" s="65"/>
      <c r="AQ172" s="65"/>
      <c r="AR172" s="65"/>
      <c r="AS172" s="65"/>
      <c r="AT172" s="101" t="s">
        <v>367</v>
      </c>
      <c r="AU172" s="176">
        <f>Z173*F157*Balance!$H$6</f>
        <v>0</v>
      </c>
      <c r="AV172" s="176">
        <f>AU172*Balance!$H$13</f>
        <v>0</v>
      </c>
      <c r="AW172" s="66"/>
      <c r="AX172" s="66"/>
      <c r="AY172" s="66"/>
      <c r="AZ172" s="66"/>
      <c r="BA172" s="101" t="s">
        <v>351</v>
      </c>
      <c r="BB172" s="66"/>
      <c r="BC172" s="66"/>
      <c r="BD172" s="66"/>
      <c r="BE172" s="66"/>
      <c r="BF172" s="66"/>
      <c r="BG172" s="66"/>
      <c r="BH172" s="66"/>
      <c r="BI172" s="66"/>
      <c r="BJ172" s="66"/>
      <c r="BK172" s="66"/>
      <c r="BL172" s="66"/>
      <c r="BM172" s="66"/>
    </row>
    <row r="173" spans="1:65" ht="18" outlineLevel="1" x14ac:dyDescent="0.35">
      <c r="A173" s="61"/>
      <c r="B173" s="272"/>
      <c r="C173" s="77"/>
      <c r="H173" s="68"/>
      <c r="I173" s="68"/>
      <c r="J173" s="67"/>
      <c r="K173" s="192" t="s">
        <v>397</v>
      </c>
      <c r="L173" s="67"/>
      <c r="M173" s="67"/>
      <c r="N173" s="67"/>
      <c r="O173" s="67"/>
      <c r="P173" s="67"/>
      <c r="Q173" s="67"/>
      <c r="R173" s="14" t="s">
        <v>398</v>
      </c>
      <c r="U173" s="68"/>
      <c r="V173" s="68"/>
      <c r="W173" s="68"/>
      <c r="X173" s="68"/>
      <c r="Y173" s="127" t="s">
        <v>154</v>
      </c>
      <c r="Z173" s="193">
        <f>IF(ISNUMBER(G162),IF(AE177&lt;0.1,1/AE173,1/(AP173*1.1))+D171,"")</f>
        <v>2.9363784665579118</v>
      </c>
      <c r="AA173" s="8" t="s">
        <v>10</v>
      </c>
      <c r="AB173" s="61"/>
      <c r="AC173" s="101"/>
      <c r="AD173" s="101" t="s">
        <v>126</v>
      </c>
      <c r="AE173" s="95">
        <f>IF(ISNUMBER(G162),AVERAGE(AG173,AP173),0)</f>
        <v>0.34055555555555556</v>
      </c>
      <c r="AF173" s="101" t="s">
        <v>127</v>
      </c>
      <c r="AG173" s="95">
        <f>IF(ISNUMBER(G162),1/SUMPRODUCT(AE171:AG171,AE170:AG170),0)</f>
        <v>0.34055555555555556</v>
      </c>
      <c r="AH173" s="65"/>
      <c r="AI173" s="65"/>
      <c r="AJ173" s="65"/>
      <c r="AK173" s="65"/>
      <c r="AL173" s="103"/>
      <c r="AM173" s="65"/>
      <c r="AN173" s="65"/>
      <c r="AO173" s="101" t="s">
        <v>128</v>
      </c>
      <c r="AP173" s="95">
        <f>$D157+SUM(AP162:AP169)+$D158</f>
        <v>0.34055555555555556</v>
      </c>
      <c r="AQ173" s="65"/>
      <c r="AR173" s="65"/>
      <c r="AS173" s="152" t="str">
        <f>Data!$D$4</f>
        <v>Heat pump</v>
      </c>
      <c r="AT173" s="177" t="s">
        <v>374</v>
      </c>
      <c r="AU173" s="179">
        <f>AU172/(Balance!$H$17*Balance!$H$18*Balance!$H$19)*Balance!$H$22</f>
        <v>0</v>
      </c>
      <c r="AV173" s="176">
        <f>AU173*Balance!$H$13</f>
        <v>0</v>
      </c>
      <c r="AW173" s="66"/>
      <c r="AX173" s="186">
        <f ca="1">AU172/(Balance!$H$17*Balance!$H$18*Balance!$H$19)*Balance!$G$22/1000</f>
        <v>0</v>
      </c>
      <c r="AY173" s="176">
        <f ca="1">AX173*Balance!$H$13</f>
        <v>0</v>
      </c>
      <c r="AZ173" s="101"/>
      <c r="BA173" s="95">
        <f>SUM(BA162:BA169)</f>
        <v>26.888569929538704</v>
      </c>
      <c r="BB173" s="66" t="s">
        <v>355</v>
      </c>
      <c r="BC173" s="66"/>
      <c r="BD173" s="66"/>
      <c r="BE173" s="66"/>
      <c r="BF173" s="66"/>
      <c r="BG173" s="66"/>
      <c r="BH173" s="66"/>
      <c r="BI173" s="101" t="s">
        <v>149</v>
      </c>
      <c r="BJ173" s="95">
        <f>SUM(BJ162:BJ169)</f>
        <v>10.475915614348221</v>
      </c>
      <c r="BK173" s="66" t="s">
        <v>357</v>
      </c>
      <c r="BL173" s="66"/>
      <c r="BM173" s="66"/>
    </row>
    <row r="174" spans="1:65" ht="15.75" outlineLevel="1" x14ac:dyDescent="0.25">
      <c r="A174" s="61"/>
      <c r="B174" s="272"/>
      <c r="C174" s="77"/>
      <c r="D174" s="155"/>
      <c r="E174" s="188" t="s">
        <v>395</v>
      </c>
      <c r="F174" s="116"/>
      <c r="H174" s="68"/>
      <c r="I174" s="68"/>
      <c r="J174" s="67"/>
      <c r="K174" s="190">
        <f>BA173</f>
        <v>26.888569929538704</v>
      </c>
      <c r="L174" s="128" t="s">
        <v>400</v>
      </c>
      <c r="M174" s="67"/>
      <c r="N174" s="67"/>
      <c r="O174" s="67"/>
      <c r="P174" s="67"/>
      <c r="Q174" s="67"/>
      <c r="R174" s="190">
        <f>BJ173</f>
        <v>10.475915614348221</v>
      </c>
      <c r="S174" s="128" t="s">
        <v>399</v>
      </c>
      <c r="U174" s="68"/>
      <c r="V174" s="68"/>
      <c r="W174" s="68"/>
      <c r="X174" s="68"/>
      <c r="Y174" s="67"/>
      <c r="Z174" s="67"/>
      <c r="AA174" s="8"/>
      <c r="AB174" s="61"/>
      <c r="AC174" s="101"/>
      <c r="AD174" s="101"/>
      <c r="AE174" s="154"/>
      <c r="AF174" s="101"/>
      <c r="AG174" s="154"/>
      <c r="AH174" s="65"/>
      <c r="AI174" s="65"/>
      <c r="AJ174" s="65"/>
      <c r="AK174" s="65"/>
      <c r="AL174" s="103"/>
      <c r="AM174" s="65"/>
      <c r="AN174" s="65"/>
      <c r="AO174" s="101"/>
      <c r="AP174" s="154"/>
      <c r="AQ174" s="65"/>
      <c r="AR174" s="65"/>
      <c r="AS174" s="152" t="str">
        <f>Data!$D$5</f>
        <v>Direct electric</v>
      </c>
      <c r="AT174" s="177" t="s">
        <v>374</v>
      </c>
      <c r="AU174" s="179">
        <f>AU172/Balance!$H$18*Balance!$H$22</f>
        <v>0</v>
      </c>
      <c r="AV174" s="176">
        <f>AU174*Balance!$H$13</f>
        <v>0</v>
      </c>
      <c r="AW174" s="66"/>
      <c r="AX174" s="186">
        <f ca="1">AU172/Balance!$H$18*Balance!$G$22/1000</f>
        <v>0</v>
      </c>
      <c r="AY174" s="176">
        <f ca="1">AX174*Balance!$H$13</f>
        <v>0</v>
      </c>
      <c r="AZ174" s="101"/>
      <c r="BA174" s="154"/>
      <c r="BB174" s="66"/>
      <c r="BC174" s="66"/>
      <c r="BD174" s="66"/>
      <c r="BE174" s="66"/>
      <c r="BF174" s="66"/>
      <c r="BG174" s="66"/>
      <c r="BH174" s="66"/>
      <c r="BI174" s="101"/>
      <c r="BJ174" s="154"/>
      <c r="BK174" s="66"/>
      <c r="BL174" s="66"/>
      <c r="BM174" s="66"/>
    </row>
    <row r="175" spans="1:65" ht="15.75" outlineLevel="1" x14ac:dyDescent="0.25">
      <c r="A175" s="61"/>
      <c r="B175" s="272"/>
      <c r="C175" s="77"/>
      <c r="D175" s="155"/>
      <c r="E175" s="188" t="s">
        <v>396</v>
      </c>
      <c r="F175" s="116"/>
      <c r="H175" s="68"/>
      <c r="I175" s="68"/>
      <c r="J175" s="67"/>
      <c r="K175" s="190">
        <f>AV177</f>
        <v>0</v>
      </c>
      <c r="L175" s="128" t="s">
        <v>401</v>
      </c>
      <c r="M175" s="67"/>
      <c r="N175" s="67"/>
      <c r="O175" s="67"/>
      <c r="P175" s="67"/>
      <c r="Q175" s="67"/>
      <c r="R175" s="190">
        <f ca="1">AY177</f>
        <v>0</v>
      </c>
      <c r="S175" s="128" t="s">
        <v>358</v>
      </c>
      <c r="U175" s="68"/>
      <c r="V175" s="68"/>
      <c r="W175" s="68"/>
      <c r="X175" s="68"/>
      <c r="Y175" s="67"/>
      <c r="Z175" s="67"/>
      <c r="AA175" s="8"/>
      <c r="AB175" s="61"/>
      <c r="AC175" s="101"/>
      <c r="AD175" s="101"/>
      <c r="AE175" s="154"/>
      <c r="AF175" s="101"/>
      <c r="AG175" s="154"/>
      <c r="AH175" s="65"/>
      <c r="AI175" s="65"/>
      <c r="AJ175" s="65"/>
      <c r="AK175" s="65"/>
      <c r="AL175" s="103"/>
      <c r="AM175" s="65"/>
      <c r="AN175" s="65"/>
      <c r="AO175" s="101"/>
      <c r="AP175" s="154"/>
      <c r="AQ175" s="65"/>
      <c r="AR175" s="65"/>
      <c r="AS175" s="152" t="str">
        <f>Data!$D$6</f>
        <v>Gas boiler</v>
      </c>
      <c r="AT175" s="177" t="s">
        <v>374</v>
      </c>
      <c r="AU175" s="179">
        <f>AU172/(Balance!$H$18*Balance!$H$19)*Balance!H$23</f>
        <v>0</v>
      </c>
      <c r="AV175" s="176">
        <f>AU175*Balance!$H$13</f>
        <v>0</v>
      </c>
      <c r="AW175" s="66"/>
      <c r="AX175" s="186">
        <f ca="1">AU172/(Balance!$H$18*Balance!$H$19)*Balance!$G$23/1000</f>
        <v>0</v>
      </c>
      <c r="AY175" s="176">
        <f ca="1">AX175*Balance!$H$13</f>
        <v>0</v>
      </c>
      <c r="AZ175" s="101"/>
      <c r="BA175" s="154"/>
      <c r="BB175" s="66"/>
      <c r="BC175" s="66"/>
      <c r="BD175" s="66"/>
      <c r="BE175" s="66"/>
      <c r="BF175" s="66"/>
      <c r="BG175" s="66"/>
      <c r="BH175" s="66"/>
      <c r="BI175" s="101"/>
      <c r="BJ175" s="154"/>
      <c r="BK175" s="66"/>
      <c r="BL175" s="66"/>
      <c r="BM175" s="66"/>
    </row>
    <row r="176" spans="1:65" ht="15.75" outlineLevel="1" x14ac:dyDescent="0.25">
      <c r="A176" s="61"/>
      <c r="B176" s="272"/>
      <c r="C176" s="77"/>
      <c r="D176" s="155"/>
      <c r="E176" s="188" t="s">
        <v>352</v>
      </c>
      <c r="F176" s="116"/>
      <c r="H176" s="68"/>
      <c r="I176" s="68"/>
      <c r="J176" s="67"/>
      <c r="K176" s="191">
        <f>K175+K174</f>
        <v>26.888569929538704</v>
      </c>
      <c r="L176" s="128" t="s">
        <v>355</v>
      </c>
      <c r="M176" s="67"/>
      <c r="N176" s="67"/>
      <c r="O176" s="67"/>
      <c r="P176" s="67"/>
      <c r="Q176" s="67"/>
      <c r="R176" s="191">
        <f ca="1">R175+R174</f>
        <v>10.475915614348221</v>
      </c>
      <c r="S176" s="128" t="s">
        <v>358</v>
      </c>
      <c r="T176" s="153"/>
      <c r="U176" s="68"/>
      <c r="V176" s="68"/>
      <c r="W176" s="68"/>
      <c r="X176" s="68"/>
      <c r="Y176" s="67"/>
      <c r="Z176" s="67"/>
      <c r="AA176" s="8"/>
      <c r="AB176" s="61"/>
      <c r="AC176" s="101"/>
      <c r="AD176" s="101"/>
      <c r="AE176" s="154"/>
      <c r="AF176" s="101"/>
      <c r="AG176" s="154"/>
      <c r="AH176" s="65"/>
      <c r="AI176" s="65"/>
      <c r="AJ176" s="65"/>
      <c r="AK176" s="65"/>
      <c r="AL176" s="103"/>
      <c r="AM176" s="65"/>
      <c r="AN176" s="65"/>
      <c r="AO176" s="101"/>
      <c r="AP176" s="154"/>
      <c r="AQ176" s="65"/>
      <c r="AR176" s="65"/>
      <c r="AS176" s="152" t="str">
        <f>Data!$D$7</f>
        <v>Biomass</v>
      </c>
      <c r="AT176" s="177" t="s">
        <v>374</v>
      </c>
      <c r="AU176" s="179">
        <f>AU172/(Balance!$H$18*Balance!$H$19)*Balance!$H$24</f>
        <v>0</v>
      </c>
      <c r="AV176" s="176">
        <f>AU176*Balance!$H$13</f>
        <v>0</v>
      </c>
      <c r="AW176" s="66"/>
      <c r="AX176" s="186">
        <f ca="1">AU172/(Balance!$H$18*Balance!$H$19)*Balance!$G$24/1000</f>
        <v>0</v>
      </c>
      <c r="AY176" s="176">
        <f ca="1">AX176*Balance!$H$13</f>
        <v>0</v>
      </c>
      <c r="AZ176" s="101"/>
      <c r="BA176" s="154"/>
      <c r="BB176" s="66"/>
      <c r="BC176" s="66"/>
      <c r="BD176" s="66"/>
      <c r="BE176" s="66"/>
      <c r="BF176" s="66"/>
      <c r="BG176" s="66"/>
      <c r="BH176" s="66"/>
      <c r="BI176" s="101"/>
      <c r="BJ176" s="154"/>
      <c r="BK176" s="66"/>
      <c r="BL176" s="66"/>
      <c r="BM176" s="66"/>
    </row>
    <row r="177" spans="1:65" outlineLevel="1" x14ac:dyDescent="0.25">
      <c r="A177" s="61"/>
      <c r="B177" s="272"/>
      <c r="C177" s="104"/>
      <c r="D177" s="105"/>
      <c r="E177" s="106"/>
      <c r="F177" s="106"/>
      <c r="G177" s="106"/>
      <c r="H177" s="107"/>
      <c r="I177" s="107"/>
      <c r="J177" s="107"/>
      <c r="K177" s="106"/>
      <c r="L177" s="106"/>
      <c r="M177" s="106"/>
      <c r="N177" s="106"/>
      <c r="O177" s="106"/>
      <c r="P177" s="106"/>
      <c r="Q177" s="106"/>
      <c r="R177" s="106"/>
      <c r="S177" s="106"/>
      <c r="T177" s="106"/>
      <c r="U177" s="106"/>
      <c r="V177" s="106"/>
      <c r="W177" s="106"/>
      <c r="X177" s="106"/>
      <c r="Y177" s="106"/>
      <c r="Z177" s="108"/>
      <c r="AA177" s="109"/>
      <c r="AB177" s="61"/>
      <c r="AC177" s="101"/>
      <c r="AD177" s="101" t="s">
        <v>129</v>
      </c>
      <c r="AE177" s="110">
        <f>IF(ISNUMBER(G162),(AG173-AP173)/(2*AE173),0)</f>
        <v>0</v>
      </c>
      <c r="AF177" s="111"/>
      <c r="AG177" s="65"/>
      <c r="AH177" s="101"/>
      <c r="AI177" s="65"/>
      <c r="AJ177" s="65"/>
      <c r="AK177" s="65"/>
      <c r="AL177" s="65"/>
      <c r="AM177" s="65"/>
      <c r="AN177" s="65"/>
      <c r="AO177" s="65"/>
      <c r="AP177" s="66"/>
      <c r="AQ177" s="65"/>
      <c r="AR177" s="65"/>
      <c r="AS177" s="178" t="str">
        <f>Balance!$G$16</f>
        <v>Heat pump</v>
      </c>
      <c r="AT177" s="66"/>
      <c r="AU177" s="185">
        <f>VLOOKUP(AS177,AS173:AU176,3,0)</f>
        <v>0</v>
      </c>
      <c r="AV177" s="185">
        <f>VLOOKUP(AS177,AS173:AV176,4,0)</f>
        <v>0</v>
      </c>
      <c r="AW177" s="185"/>
      <c r="AX177" s="187">
        <f ca="1">VLOOKUP(AS177,AS173:AX176,6,0)</f>
        <v>0</v>
      </c>
      <c r="AY177" s="185">
        <f ca="1">VLOOKUP(AS177,AS173:AY176,7,0)</f>
        <v>0</v>
      </c>
      <c r="AZ177" s="66"/>
      <c r="BA177" s="66"/>
      <c r="BB177" s="66"/>
      <c r="BC177" s="66"/>
      <c r="BD177" s="66"/>
      <c r="BE177" s="66"/>
      <c r="BF177" s="66"/>
      <c r="BG177" s="66"/>
      <c r="BH177" s="66"/>
      <c r="BI177" s="66"/>
      <c r="BJ177" s="66"/>
      <c r="BK177" s="66"/>
      <c r="BL177" s="66"/>
      <c r="BM177" s="66"/>
    </row>
    <row r="178" spans="1:65" outlineLevel="1" x14ac:dyDescent="0.25">
      <c r="B178" s="201"/>
    </row>
    <row r="179" spans="1:65" outlineLevel="1" x14ac:dyDescent="0.25">
      <c r="A179" s="61"/>
      <c r="B179" s="272"/>
      <c r="C179" s="62"/>
      <c r="D179" s="114" t="s">
        <v>131</v>
      </c>
      <c r="E179" s="115" t="s">
        <v>132</v>
      </c>
      <c r="F179" s="115"/>
      <c r="G179" s="63"/>
      <c r="H179" s="63"/>
      <c r="I179" s="63"/>
      <c r="J179" s="63"/>
      <c r="K179" s="63"/>
      <c r="L179" s="63"/>
      <c r="M179" s="63"/>
      <c r="N179" s="63"/>
      <c r="O179" s="63"/>
      <c r="P179" s="63"/>
      <c r="Q179" s="63"/>
      <c r="R179" s="63"/>
      <c r="S179" s="63"/>
      <c r="T179" s="63"/>
      <c r="U179" s="63"/>
      <c r="V179" s="63"/>
      <c r="W179" s="63"/>
      <c r="X179" s="63"/>
      <c r="Y179" s="63"/>
      <c r="Z179" s="63"/>
      <c r="AA179" s="64"/>
      <c r="AB179" s="61"/>
      <c r="AC179" s="65" t="s">
        <v>402</v>
      </c>
      <c r="AD179" s="65"/>
      <c r="AE179" s="65"/>
      <c r="AF179" s="65"/>
      <c r="AG179" s="65"/>
      <c r="AH179" s="65"/>
      <c r="AI179" s="65"/>
      <c r="AJ179" s="65"/>
      <c r="AK179" s="65"/>
      <c r="AL179" s="65"/>
      <c r="AM179" s="65"/>
      <c r="AN179" s="65"/>
      <c r="AO179" s="65"/>
      <c r="AP179" s="65"/>
      <c r="AQ179" s="66"/>
      <c r="AR179" s="65" t="s">
        <v>405</v>
      </c>
      <c r="AS179" s="65"/>
      <c r="AT179" s="65"/>
      <c r="AU179" s="65"/>
      <c r="AV179" s="65"/>
      <c r="AW179" s="65"/>
      <c r="AX179" s="65"/>
      <c r="AY179" s="65"/>
      <c r="AZ179" s="65"/>
      <c r="BA179" s="65"/>
      <c r="BB179" s="65" t="s">
        <v>403</v>
      </c>
      <c r="BC179" s="65"/>
      <c r="BD179" s="65"/>
      <c r="BE179" s="65"/>
      <c r="BF179" s="65"/>
      <c r="BG179" s="65"/>
      <c r="BH179" s="65"/>
      <c r="BI179" s="65"/>
      <c r="BJ179" s="65"/>
      <c r="BK179" s="65"/>
      <c r="BL179" s="65"/>
      <c r="BM179" s="65"/>
    </row>
    <row r="180" spans="1:65" ht="15.75" x14ac:dyDescent="0.25">
      <c r="A180" s="61"/>
      <c r="B180" s="272"/>
      <c r="C180" s="69"/>
      <c r="D180" s="70">
        <v>7</v>
      </c>
      <c r="E180" s="71" t="s">
        <v>408</v>
      </c>
      <c r="F180" s="92"/>
      <c r="G180" s="72"/>
      <c r="H180" s="72"/>
      <c r="I180" s="72"/>
      <c r="J180" s="72"/>
      <c r="K180" s="72"/>
      <c r="L180" s="72"/>
      <c r="M180" s="72"/>
      <c r="N180" s="72"/>
      <c r="O180" s="72"/>
      <c r="P180" s="72"/>
      <c r="Q180" s="72"/>
      <c r="R180" s="72"/>
      <c r="S180" s="72"/>
      <c r="T180" s="72"/>
      <c r="U180" s="72"/>
      <c r="V180" s="72"/>
      <c r="W180" s="72"/>
      <c r="X180" s="72"/>
      <c r="Y180" s="72"/>
      <c r="Z180" s="73"/>
      <c r="AA180" s="75"/>
      <c r="AB180" s="61"/>
      <c r="AC180" s="65"/>
      <c r="AD180" s="65"/>
      <c r="AE180" s="76" t="s">
        <v>114</v>
      </c>
      <c r="AF180" s="65"/>
      <c r="AG180" s="65"/>
      <c r="AH180" s="65"/>
      <c r="AI180" s="65"/>
      <c r="AJ180" s="65"/>
      <c r="AK180" s="65"/>
      <c r="AL180" s="65"/>
      <c r="AM180" s="65"/>
      <c r="AN180" s="65"/>
      <c r="AO180" s="65"/>
      <c r="AP180" s="66"/>
      <c r="AQ180" s="65"/>
      <c r="AR180" s="65" t="s">
        <v>404</v>
      </c>
      <c r="AS180" s="65"/>
      <c r="AT180" s="65"/>
      <c r="AU180" s="65"/>
      <c r="AV180" s="65"/>
      <c r="AW180" s="65"/>
      <c r="AX180" s="65"/>
      <c r="AY180" s="65"/>
      <c r="AZ180" s="65"/>
      <c r="BA180" s="65"/>
      <c r="BB180" s="65" t="s">
        <v>407</v>
      </c>
      <c r="BC180" s="65"/>
      <c r="BD180" s="65"/>
      <c r="BE180" s="65"/>
      <c r="BF180" s="65"/>
      <c r="BG180" s="65"/>
      <c r="BH180" s="65"/>
      <c r="BI180" s="65"/>
      <c r="BJ180" s="65"/>
      <c r="BK180" s="65"/>
      <c r="BL180" s="65"/>
      <c r="BM180" s="65"/>
    </row>
    <row r="181" spans="1:65" outlineLevel="1" x14ac:dyDescent="0.25">
      <c r="A181" s="61"/>
      <c r="B181" s="272"/>
      <c r="C181" s="77"/>
      <c r="D181" s="116" t="s">
        <v>133</v>
      </c>
      <c r="E181" s="78"/>
      <c r="F181" s="78"/>
      <c r="AA181" s="75"/>
      <c r="AB181" s="61"/>
      <c r="AC181" s="65"/>
      <c r="AD181" s="65"/>
      <c r="AE181" s="65"/>
      <c r="AF181" s="65"/>
      <c r="AG181" s="65"/>
      <c r="AH181" s="65"/>
      <c r="AI181" s="65"/>
      <c r="AJ181" s="65"/>
      <c r="AK181" s="65"/>
      <c r="AL181" s="65"/>
      <c r="AM181" s="65"/>
      <c r="AN181" s="65"/>
      <c r="AO181" s="65"/>
      <c r="AP181" s="66"/>
      <c r="AQ181" s="65"/>
      <c r="AR181" s="65"/>
      <c r="AS181" s="65"/>
      <c r="AT181" s="65"/>
      <c r="AU181" s="65"/>
      <c r="AV181" s="65"/>
      <c r="AW181" s="65"/>
      <c r="AX181" s="65"/>
      <c r="AY181" s="65"/>
      <c r="AZ181" s="65"/>
      <c r="BA181" s="65"/>
      <c r="BB181" s="65"/>
      <c r="BC181" s="65"/>
      <c r="BD181" s="65"/>
      <c r="BE181" s="65"/>
      <c r="BF181" s="65"/>
      <c r="BG181" s="65"/>
      <c r="BH181" s="65"/>
      <c r="BI181" s="65"/>
      <c r="BJ181" s="65"/>
      <c r="BK181" s="65"/>
      <c r="BL181" s="65"/>
      <c r="BM181" s="65"/>
    </row>
    <row r="182" spans="1:65" outlineLevel="1" x14ac:dyDescent="0.25">
      <c r="A182" s="61"/>
      <c r="B182" s="272"/>
      <c r="C182" s="77"/>
      <c r="D182" s="79">
        <v>0.13</v>
      </c>
      <c r="E182" s="2" t="s">
        <v>151</v>
      </c>
      <c r="F182" s="138">
        <v>1</v>
      </c>
      <c r="G182" s="61"/>
      <c r="H182" s="74"/>
      <c r="I182" s="74"/>
      <c r="J182" s="74"/>
      <c r="K182" s="2" t="s">
        <v>921</v>
      </c>
      <c r="L182" s="74"/>
      <c r="M182" s="74"/>
      <c r="N182" s="74"/>
      <c r="AA182" s="75"/>
      <c r="AB182" s="61"/>
      <c r="AC182" s="65"/>
      <c r="AD182" s="65"/>
      <c r="AE182" s="65" t="s">
        <v>115</v>
      </c>
      <c r="AF182" s="65"/>
      <c r="AG182" s="65"/>
      <c r="AH182" s="65"/>
      <c r="AI182" s="65" t="s">
        <v>116</v>
      </c>
      <c r="AJ182" s="65"/>
      <c r="AK182" s="65"/>
      <c r="AL182" s="65"/>
      <c r="AM182" s="65"/>
      <c r="AN182" s="65"/>
      <c r="AO182" s="65"/>
      <c r="AP182" s="66"/>
      <c r="AQ182" s="65"/>
      <c r="AR182" s="65"/>
      <c r="AS182" s="65"/>
      <c r="AT182" s="65"/>
      <c r="AU182" s="65"/>
      <c r="AV182" s="65"/>
      <c r="AW182" s="65"/>
      <c r="AX182" s="65"/>
      <c r="AY182" s="65"/>
      <c r="AZ182" s="65"/>
      <c r="BA182" s="65"/>
      <c r="BB182" s="65"/>
      <c r="BC182" s="65"/>
      <c r="BD182" s="65"/>
      <c r="BE182" s="65"/>
      <c r="BF182" s="65"/>
      <c r="BG182" s="65"/>
      <c r="BH182" s="65"/>
      <c r="BI182" s="65"/>
      <c r="BJ182" s="65"/>
      <c r="BK182" s="65"/>
      <c r="BL182" s="65"/>
      <c r="BM182" s="65"/>
    </row>
    <row r="183" spans="1:65" ht="15.75" outlineLevel="1" x14ac:dyDescent="0.25">
      <c r="A183" s="61"/>
      <c r="B183" s="272"/>
      <c r="C183" s="77"/>
      <c r="D183" s="79">
        <v>0.04</v>
      </c>
      <c r="E183" s="2" t="s">
        <v>152</v>
      </c>
      <c r="F183" s="2"/>
      <c r="G183" s="61"/>
      <c r="H183" s="74"/>
      <c r="I183" s="74"/>
      <c r="J183" s="74"/>
      <c r="K183" s="74"/>
      <c r="L183" s="74"/>
      <c r="M183" s="74"/>
      <c r="N183" s="74"/>
      <c r="AA183" s="75"/>
      <c r="AB183" s="61"/>
      <c r="AC183" s="65"/>
      <c r="AD183" s="65"/>
      <c r="AE183" s="80" t="s">
        <v>117</v>
      </c>
      <c r="AF183" s="81"/>
      <c r="AG183" s="81"/>
      <c r="AH183" s="65"/>
      <c r="AI183" s="82" t="s">
        <v>118</v>
      </c>
      <c r="AJ183" s="81"/>
      <c r="AK183" s="81"/>
      <c r="AL183" s="65"/>
      <c r="AM183" s="83" t="s">
        <v>119</v>
      </c>
      <c r="AN183" s="84"/>
      <c r="AO183" s="85"/>
      <c r="AP183" s="65"/>
      <c r="AQ183" s="65"/>
      <c r="AR183" s="65"/>
      <c r="AS183" s="65"/>
      <c r="AT183" s="65"/>
      <c r="AU183" s="65"/>
      <c r="AV183" s="65"/>
      <c r="AW183" s="65"/>
      <c r="AX183" s="65"/>
      <c r="AY183" s="65"/>
      <c r="AZ183" s="65"/>
      <c r="BA183" s="65"/>
      <c r="BB183" s="65"/>
      <c r="BC183" s="65"/>
      <c r="BD183" s="65"/>
      <c r="BE183" s="65"/>
      <c r="BF183" s="65"/>
      <c r="BG183" s="65"/>
      <c r="BH183" s="65"/>
      <c r="BI183" s="65"/>
      <c r="BJ183" s="65"/>
      <c r="BK183" s="65"/>
      <c r="BL183" s="65"/>
      <c r="BM183" s="65"/>
    </row>
    <row r="184" spans="1:65" ht="15.75" outlineLevel="1" x14ac:dyDescent="0.25">
      <c r="A184" s="61"/>
      <c r="B184" s="272"/>
      <c r="C184" s="77"/>
      <c r="D184" s="74"/>
      <c r="E184" s="61"/>
      <c r="F184" s="61"/>
      <c r="G184" s="61"/>
      <c r="H184" s="74"/>
      <c r="I184" s="74"/>
      <c r="J184" s="74"/>
      <c r="K184" s="74"/>
      <c r="L184" s="74"/>
      <c r="M184" s="74"/>
      <c r="N184" s="74"/>
      <c r="O184" s="1"/>
      <c r="P184" s="1"/>
      <c r="Q184" s="1"/>
      <c r="AA184" s="75"/>
      <c r="AB184" s="61"/>
      <c r="AC184" s="65"/>
      <c r="AD184" s="65"/>
      <c r="AE184" s="117"/>
      <c r="AF184" s="117"/>
      <c r="AG184" s="117"/>
      <c r="AH184" s="65"/>
      <c r="AI184" s="118"/>
      <c r="AJ184" s="117"/>
      <c r="AK184" s="117"/>
      <c r="AL184" s="65"/>
      <c r="AM184" s="119"/>
      <c r="AN184" s="119"/>
      <c r="AO184" s="119"/>
      <c r="AP184" s="65"/>
      <c r="AQ184" s="65"/>
      <c r="AR184" s="65"/>
      <c r="AS184" s="65"/>
      <c r="AT184" s="148" t="s">
        <v>351</v>
      </c>
      <c r="AU184" s="65"/>
      <c r="AV184" s="65"/>
      <c r="AW184" s="65"/>
      <c r="AX184" s="148"/>
      <c r="AY184" s="65"/>
      <c r="AZ184" s="65"/>
      <c r="BA184" s="65"/>
      <c r="BB184" s="65"/>
      <c r="BC184" s="148" t="s">
        <v>406</v>
      </c>
      <c r="BD184" s="65"/>
      <c r="BE184" s="65"/>
      <c r="BF184" s="65"/>
      <c r="BG184" s="148"/>
      <c r="BH184" s="65"/>
      <c r="BI184" s="65"/>
      <c r="BJ184" s="65"/>
      <c r="BK184" s="65"/>
      <c r="BL184" s="65"/>
      <c r="BM184" s="65"/>
    </row>
    <row r="185" spans="1:65" ht="22.5" outlineLevel="1" x14ac:dyDescent="0.25">
      <c r="A185" s="61"/>
      <c r="B185" s="272"/>
      <c r="C185" s="77"/>
      <c r="D185" s="121" t="str">
        <f>$D$35</f>
        <v>Area section 1</v>
      </c>
      <c r="E185" s="61"/>
      <c r="F185" s="122" t="str">
        <f>$F$35</f>
        <v>Count?</v>
      </c>
      <c r="G185" s="122" t="str">
        <f>$G$35</f>
        <v>Thermal conductivity</v>
      </c>
      <c r="H185" s="122" t="str">
        <f>$H$35</f>
        <v>Manfacturing energy</v>
      </c>
      <c r="I185" s="122" t="str">
        <f>$I$35</f>
        <v>GWP</v>
      </c>
      <c r="J185" s="122" t="str">
        <f>$J$35</f>
        <v>Service life</v>
      </c>
      <c r="K185" s="121" t="str">
        <f>$K$35</f>
        <v>Area section 2 (optional)</v>
      </c>
      <c r="L185" s="121"/>
      <c r="M185" s="122" t="str">
        <f>$M$35</f>
        <v>Count?</v>
      </c>
      <c r="N185" s="122" t="str">
        <f>$N$35</f>
        <v>Thermal conductivity</v>
      </c>
      <c r="O185" s="122" t="str">
        <f>$O$35</f>
        <v>Manfacturing energy</v>
      </c>
      <c r="P185" s="122" t="str">
        <f>$P$35</f>
        <v>GWP</v>
      </c>
      <c r="Q185" s="122" t="str">
        <f>$Q$35</f>
        <v>Service life</v>
      </c>
      <c r="R185" s="121" t="str">
        <f>$R$35</f>
        <v>Area section 3 (optional)</v>
      </c>
      <c r="S185" s="74"/>
      <c r="T185" s="122" t="str">
        <f>$T$35</f>
        <v>Count?</v>
      </c>
      <c r="U185" s="122" t="str">
        <f>$U$35</f>
        <v>Thermal conductivity</v>
      </c>
      <c r="V185" s="122" t="str">
        <f>$V$35</f>
        <v>Manfacturing energy</v>
      </c>
      <c r="W185" s="122" t="str">
        <f>$W$35</f>
        <v>GWP</v>
      </c>
      <c r="X185" s="122" t="str">
        <f>$X$35</f>
        <v>Service life</v>
      </c>
      <c r="Y185" s="74"/>
      <c r="Z185" s="122" t="str">
        <f>$Z$35</f>
        <v>Thickness</v>
      </c>
      <c r="AA185" s="75"/>
      <c r="AB185" s="61"/>
      <c r="AC185" s="65"/>
      <c r="AD185" s="65"/>
      <c r="AE185" s="86"/>
      <c r="AF185" s="87"/>
      <c r="AG185" s="65"/>
      <c r="AH185" s="65"/>
      <c r="AI185" s="65"/>
      <c r="AJ185" s="65"/>
      <c r="AK185" s="65"/>
      <c r="AL185" s="65"/>
      <c r="AM185" s="65"/>
      <c r="AN185" s="65"/>
      <c r="AO185" s="65"/>
      <c r="AP185" s="65"/>
      <c r="AQ185" s="65"/>
      <c r="AR185" s="65"/>
      <c r="AS185" s="65"/>
      <c r="AT185" s="148"/>
      <c r="AU185" s="65"/>
      <c r="AV185" s="65"/>
      <c r="AW185" s="151" t="s">
        <v>353</v>
      </c>
      <c r="AX185" s="149">
        <f>D195</f>
        <v>1</v>
      </c>
      <c r="AY185" s="150">
        <f>K195</f>
        <v>0</v>
      </c>
      <c r="AZ185" s="150">
        <f>R195</f>
        <v>0</v>
      </c>
      <c r="BA185" s="156">
        <f>SUM(AX185:AZ185)</f>
        <v>1</v>
      </c>
      <c r="BB185" s="65"/>
      <c r="BC185" s="148"/>
      <c r="BD185" s="65"/>
      <c r="BE185" s="65"/>
      <c r="BF185" s="151" t="s">
        <v>353</v>
      </c>
      <c r="BG185" s="149">
        <f>AX185</f>
        <v>1</v>
      </c>
      <c r="BH185" s="149">
        <f t="shared" ref="BH185" si="132">AY185</f>
        <v>0</v>
      </c>
      <c r="BI185" s="149">
        <f t="shared" ref="BI185" si="133">AZ185</f>
        <v>0</v>
      </c>
      <c r="BJ185" s="156">
        <f>SUM(BG185:BI185)</f>
        <v>1</v>
      </c>
      <c r="BK185" s="65"/>
      <c r="BL185" s="65"/>
      <c r="BM185" s="65"/>
    </row>
    <row r="186" spans="1:65" outlineLevel="1" x14ac:dyDescent="0.25">
      <c r="A186" s="61"/>
      <c r="B186" s="272"/>
      <c r="C186" s="77"/>
      <c r="E186" s="61"/>
      <c r="F186" s="120" t="s">
        <v>985</v>
      </c>
      <c r="G186" s="4" t="s">
        <v>135</v>
      </c>
      <c r="H186" s="120" t="s">
        <v>144</v>
      </c>
      <c r="I186" s="120" t="s">
        <v>148</v>
      </c>
      <c r="J186" s="120" t="s">
        <v>146</v>
      </c>
      <c r="K186" s="88"/>
      <c r="L186" s="88"/>
      <c r="M186" s="88"/>
      <c r="N186" s="4" t="s">
        <v>135</v>
      </c>
      <c r="O186" s="120" t="s">
        <v>144</v>
      </c>
      <c r="P186" s="120" t="s">
        <v>148</v>
      </c>
      <c r="Q186" s="120" t="s">
        <v>146</v>
      </c>
      <c r="R186" s="88"/>
      <c r="S186" s="88"/>
      <c r="T186" s="88"/>
      <c r="U186" s="4" t="s">
        <v>135</v>
      </c>
      <c r="V186" s="120" t="s">
        <v>144</v>
      </c>
      <c r="W186" s="120" t="s">
        <v>148</v>
      </c>
      <c r="X186" s="120" t="s">
        <v>146</v>
      </c>
      <c r="Y186" s="74"/>
      <c r="Z186" s="120" t="str">
        <f>$Z$36</f>
        <v>[mm]</v>
      </c>
      <c r="AA186" s="75"/>
      <c r="AB186" s="61"/>
      <c r="AC186" s="65"/>
      <c r="AD186" s="65"/>
      <c r="AE186" s="89" t="s">
        <v>120</v>
      </c>
      <c r="AF186" s="89" t="s">
        <v>121</v>
      </c>
      <c r="AG186" s="89" t="s">
        <v>122</v>
      </c>
      <c r="AH186" s="65"/>
      <c r="AI186" s="89" t="s">
        <v>120</v>
      </c>
      <c r="AJ186" s="89" t="s">
        <v>121</v>
      </c>
      <c r="AK186" s="89" t="s">
        <v>122</v>
      </c>
      <c r="AL186" s="90"/>
      <c r="AM186" s="89" t="s">
        <v>120</v>
      </c>
      <c r="AN186" s="89" t="s">
        <v>121</v>
      </c>
      <c r="AO186" s="89" t="s">
        <v>122</v>
      </c>
      <c r="AP186" s="90" t="s">
        <v>123</v>
      </c>
      <c r="AQ186" s="65"/>
      <c r="AR186" s="65"/>
      <c r="AS186" s="65"/>
      <c r="AT186" s="89" t="s">
        <v>120</v>
      </c>
      <c r="AU186" s="89" t="s">
        <v>121</v>
      </c>
      <c r="AV186" s="89" t="s">
        <v>122</v>
      </c>
      <c r="AW186" s="65"/>
      <c r="AX186" s="89" t="s">
        <v>120</v>
      </c>
      <c r="AY186" s="89" t="s">
        <v>121</v>
      </c>
      <c r="AZ186" s="89" t="s">
        <v>122</v>
      </c>
      <c r="BA186" s="89" t="s">
        <v>354</v>
      </c>
      <c r="BB186" s="65"/>
      <c r="BC186" s="89" t="s">
        <v>120</v>
      </c>
      <c r="BD186" s="89" t="s">
        <v>121</v>
      </c>
      <c r="BE186" s="89" t="s">
        <v>122</v>
      </c>
      <c r="BF186" s="65"/>
      <c r="BG186" s="89" t="s">
        <v>120</v>
      </c>
      <c r="BH186" s="89" t="s">
        <v>121</v>
      </c>
      <c r="BI186" s="89" t="s">
        <v>122</v>
      </c>
      <c r="BJ186" s="89" t="s">
        <v>354</v>
      </c>
      <c r="BK186" s="65"/>
      <c r="BL186" s="65"/>
      <c r="BM186" s="65"/>
    </row>
    <row r="187" spans="1:65" outlineLevel="1" x14ac:dyDescent="0.25">
      <c r="A187" s="61"/>
      <c r="B187" s="272"/>
      <c r="C187" s="91"/>
      <c r="D187" s="418" t="s">
        <v>1023</v>
      </c>
      <c r="E187" s="419"/>
      <c r="F187" s="94">
        <v>1</v>
      </c>
      <c r="G187" s="136">
        <f>IF(ISNUMBER(VLOOKUP(LEFT(D187,3),'Material editor'!$D$11:$H$110,'Material editor'!$E$8,0)),VLOOKUP(LEFT(D187,3),'Material editor'!$D$11:$H$110,'Material editor'!$E$8,0),"")</f>
        <v>0.54</v>
      </c>
      <c r="H187" s="137">
        <f>IF(ISNUMBER(VLOOKUP(LEFT(D187,3),'Material editor'!$D$11:$H$110,'Material editor'!$F$8,0)),VLOOKUP(LEFT(D187,3),'Material editor'!$D$11:$H$110,'Material editor'!$F$8,0),"")</f>
        <v>615.62380504232146</v>
      </c>
      <c r="I187" s="137">
        <f>IF(ISNUMBER(VLOOKUP(LEFT(D187,3),'Material editor'!$D$11:$H$110,'Material editor'!$G$8,0)),VLOOKUP(LEFT(D187,3),'Material editor'!$D$11:$H$110,'Material editor'!$G$8,0),"")</f>
        <v>118.443629056085</v>
      </c>
      <c r="J187" s="137">
        <f>IF(ISNUMBER(VLOOKUP(LEFT(D187,3),'Material editor'!$D$11:$H$110,'Material editor'!$H$8,0)),VLOOKUP(LEFT(D187,3),'Material editor'!$D$11:$H$110,'Material editor'!$H$8,0),"")</f>
        <v>40</v>
      </c>
      <c r="K187" s="418"/>
      <c r="L187" s="407"/>
      <c r="M187" s="94"/>
      <c r="N187" s="136" t="str">
        <f>IF(ISNUMBER(VLOOKUP(LEFT(K187,3),'Material editor'!$D$11:$H$110,'Material editor'!$E$8,0)),VLOOKUP(LEFT(K187,3),'Material editor'!$D$11:$H$110,'Material editor'!$E$8,0),"")</f>
        <v/>
      </c>
      <c r="O187" s="137" t="str">
        <f>IF(ISNUMBER(VLOOKUP(LEFT(K187,3),'Material editor'!$D$11:$H$110,'Material editor'!$F$8,0)),VLOOKUP(LEFT(K187,3),'Material editor'!$D$11:$H$110,'Material editor'!$F$8,0),"")</f>
        <v/>
      </c>
      <c r="P187" s="137" t="str">
        <f>IF(ISNUMBER(VLOOKUP(LEFT(K187,3),'Material editor'!$D$11:$H$110,'Material editor'!$G$8,0)),VLOOKUP(LEFT(K187,3),'Material editor'!$D$11:$H$110,'Material editor'!$G$8,0),"")</f>
        <v/>
      </c>
      <c r="Q187" s="137" t="str">
        <f>IF(ISNUMBER(VLOOKUP(LEFT(K187,3),'Material editor'!$D$11:$H$110,'Material editor'!$H$8,0)),VLOOKUP(LEFT(K187,3),'Material editor'!$D$11:$H$110,'Material editor'!$H$8,0),"")</f>
        <v/>
      </c>
      <c r="R187" s="418"/>
      <c r="S187" s="407"/>
      <c r="T187" s="94"/>
      <c r="U187" s="136" t="str">
        <f>IF(ISNUMBER(VLOOKUP(LEFT(R187,3),'Material editor'!$D$11:$H$110,'Material editor'!$E$8,0)),VLOOKUP(LEFT(R187,3),'Material editor'!$D$11:$H$110,'Material editor'!$E$8,0),"")</f>
        <v/>
      </c>
      <c r="V187" s="137" t="str">
        <f>IF(ISNUMBER(VLOOKUP(LEFT(R187,3),'Material editor'!$D$11:$H$110,'Material editor'!$F$8,0)),VLOOKUP(LEFT(R187,3),'Material editor'!$D$11:$H$110,'Material editor'!$F$8,0),"")</f>
        <v/>
      </c>
      <c r="W187" s="137" t="str">
        <f>IF(ISNUMBER(VLOOKUP(LEFT(R187,3),'Material editor'!$D$11:$H$110,'Material editor'!$G$8,0)),VLOOKUP(LEFT(R187,3),'Material editor'!$D$11:$H$110,'Material editor'!$G$8,0),"")</f>
        <v/>
      </c>
      <c r="X187" s="137" t="str">
        <f>IF(ISNUMBER(VLOOKUP(LEFT(R187,3),'Material editor'!$D$11:$H$110,'Material editor'!$H$8,0)),VLOOKUP(LEFT(R187,3),'Material editor'!$D$11:$H$110,'Material editor'!$H$8,0),"")</f>
        <v/>
      </c>
      <c r="Y187" s="74"/>
      <c r="Z187" s="94">
        <v>15</v>
      </c>
      <c r="AA187" s="8"/>
      <c r="AB187" s="61"/>
      <c r="AC187" s="65"/>
      <c r="AD187" s="65"/>
      <c r="AE187" s="95">
        <f t="shared" ref="AE187:AE194" si="134">IF(ISNUMBER(G187),IF(G187&gt;0,$Z187/1000/G187,0),0)</f>
        <v>2.7777777777777776E-2</v>
      </c>
      <c r="AF187" s="95">
        <f t="shared" ref="AF187:AF194" si="135">IF(ISNUMBER(N187),IF(N187&gt;0,$Z187/1000/N187,0),$AE187)</f>
        <v>2.7777777777777776E-2</v>
      </c>
      <c r="AG187" s="95">
        <f t="shared" ref="AG187:AG194" si="136">IF(ISNUMBER(U187),IF(U187&gt;0,$Z187/1000/U187,0),$AE187)</f>
        <v>2.7777777777777776E-2</v>
      </c>
      <c r="AH187" s="65"/>
      <c r="AI187" s="95">
        <f t="shared" ref="AI187:AI193" si="137">IF(ISNUMBER(G187),G187,0)</f>
        <v>0.54</v>
      </c>
      <c r="AJ187" s="95">
        <f t="shared" ref="AJ187:AJ194" si="138">IF(ISNUMBER(N187),IF(N187&gt;0,N187,0),$AI187)</f>
        <v>0.54</v>
      </c>
      <c r="AK187" s="95">
        <f t="shared" ref="AK187:AK194" si="139">IF(ISNUMBER(U187),IF(U187&gt;0,U187,0),$AI187)</f>
        <v>0.54</v>
      </c>
      <c r="AL187" s="65"/>
      <c r="AM187" s="96">
        <f>AE196</f>
        <v>1</v>
      </c>
      <c r="AN187" s="96">
        <f>AF196</f>
        <v>0</v>
      </c>
      <c r="AO187" s="96">
        <f>AG196</f>
        <v>0</v>
      </c>
      <c r="AP187" s="65">
        <f t="shared" ref="AP187:AP194" si="140">IF(AI187&lt;&gt;0,Z187/1000/SUMPRODUCT(AM187:AO187,AI187:AK187),0)</f>
        <v>2.7777777777777776E-2</v>
      </c>
      <c r="AQ187" s="65"/>
      <c r="AR187" s="65"/>
      <c r="AS187" s="65"/>
      <c r="AT187" s="95">
        <f>IF(ISNUMBER(H187),H187*F187*Z187/1000*Balance!$H$13/J187,0)</f>
        <v>4.6171785378174111</v>
      </c>
      <c r="AU187" s="95">
        <f>IF(ISTEXT(K187),IF(ISNUMBER(O187),O187*M187*Z187/1000*Balance!$H$13/Q187,0),AT187)</f>
        <v>4.6171785378174111</v>
      </c>
      <c r="AV187" s="95">
        <f>IF(ISTEXT(R187),IF(ISNUMBER(V187),V187*T187*Z187/1000*Balance!$H$13/X187,0),AT187)</f>
        <v>4.6171785378174111</v>
      </c>
      <c r="AW187" s="99"/>
      <c r="AX187" s="95">
        <f>AT187*AX185</f>
        <v>4.6171785378174111</v>
      </c>
      <c r="AY187" s="95">
        <f>AU187*AY185</f>
        <v>0</v>
      </c>
      <c r="AZ187" s="95">
        <f>AV187*AZ185</f>
        <v>0</v>
      </c>
      <c r="BA187" s="95">
        <f>SUM(AX187:AZ187)</f>
        <v>4.6171785378174111</v>
      </c>
      <c r="BB187" s="65"/>
      <c r="BC187" s="95">
        <f>IF(ISNUMBER(I187),I187*F187*Z187/1000*Balance!$H$13/J187,0)</f>
        <v>0.88832721792063762</v>
      </c>
      <c r="BD187" s="95">
        <f>IF(ISTEXT(K187),IF(ISNUMBER(P187),P187*M187*Z187/1000*Balance!$H$13/Q187,0),BC187)</f>
        <v>0.88832721792063762</v>
      </c>
      <c r="BE187" s="95">
        <f>IF(ISTEXT(R187),IF(ISNUMBER(W187),W187*T187*Z187/1000*Balance!$H$13/X187,0),BC187)</f>
        <v>0.88832721792063762</v>
      </c>
      <c r="BF187" s="99"/>
      <c r="BG187" s="95">
        <f>BC187*BG185</f>
        <v>0.88832721792063762</v>
      </c>
      <c r="BH187" s="95">
        <f>BD187*BH185</f>
        <v>0</v>
      </c>
      <c r="BI187" s="95">
        <f>BE187*BI185</f>
        <v>0</v>
      </c>
      <c r="BJ187" s="95">
        <f>SUM(BG187:BI187)</f>
        <v>0.88832721792063762</v>
      </c>
      <c r="BK187" s="65"/>
      <c r="BL187" s="65"/>
      <c r="BM187" s="65"/>
    </row>
    <row r="188" spans="1:65" outlineLevel="1" x14ac:dyDescent="0.25">
      <c r="A188" s="61"/>
      <c r="B188" s="272"/>
      <c r="C188" s="91"/>
      <c r="D188" s="418" t="s">
        <v>1025</v>
      </c>
      <c r="E188" s="419"/>
      <c r="F188" s="94">
        <v>1</v>
      </c>
      <c r="G188" s="136">
        <f>IF(ISNUMBER(VLOOKUP(LEFT(D188,3),'Material editor'!$D$11:$H$110,'Material editor'!$E$8,0)),VLOOKUP(LEFT(D188,3),'Material editor'!$D$11:$H$110,'Material editor'!$E$8,0),"")</f>
        <v>1</v>
      </c>
      <c r="H188" s="137">
        <f>IF(ISNUMBER(VLOOKUP(LEFT(D188,3),'Material editor'!$D$11:$H$110,'Material editor'!$F$8,0)),VLOOKUP(LEFT(D188,3),'Material editor'!$D$11:$H$110,'Material editor'!$F$8,0),"")</f>
        <v>614.05957752709162</v>
      </c>
      <c r="I188" s="137">
        <f>IF(ISNUMBER(VLOOKUP(LEFT(D188,3),'Material editor'!$D$11:$H$110,'Material editor'!$G$8,0)),VLOOKUP(LEFT(D188,3),'Material editor'!$D$11:$H$110,'Material editor'!$G$8,0),"")</f>
        <v>302.58299751328502</v>
      </c>
      <c r="J188" s="137">
        <f>IF(ISNUMBER(VLOOKUP(LEFT(D188,3),'Material editor'!$D$11:$H$110,'Material editor'!$H$8,0)),VLOOKUP(LEFT(D188,3),'Material editor'!$D$11:$H$110,'Material editor'!$H$8,0),"")</f>
        <v>80</v>
      </c>
      <c r="K188" s="418"/>
      <c r="L188" s="407"/>
      <c r="M188" s="94"/>
      <c r="N188" s="136" t="str">
        <f>IF(ISNUMBER(VLOOKUP(LEFT(K188,3),'Material editor'!$D$11:$H$110,'Material editor'!$E$8,0)),VLOOKUP(LEFT(K188,3),'Material editor'!$D$11:$H$110,'Material editor'!$E$8,0),"")</f>
        <v/>
      </c>
      <c r="O188" s="137" t="str">
        <f>IF(ISNUMBER(VLOOKUP(LEFT(K188,3),'Material editor'!$D$11:$H$110,'Material editor'!$F$8,0)),VLOOKUP(LEFT(K188,3),'Material editor'!$D$11:$H$110,'Material editor'!$F$8,0),"")</f>
        <v/>
      </c>
      <c r="P188" s="137" t="str">
        <f>IF(ISNUMBER(VLOOKUP(LEFT(K188,3),'Material editor'!$D$11:$H$110,'Material editor'!$G$8,0)),VLOOKUP(LEFT(K188,3),'Material editor'!$D$11:$H$110,'Material editor'!$G$8,0),"")</f>
        <v/>
      </c>
      <c r="Q188" s="137" t="str">
        <f>IF(ISNUMBER(VLOOKUP(LEFT(K188,3),'Material editor'!$D$11:$H$110,'Material editor'!$H$8,0)),VLOOKUP(LEFT(K188,3),'Material editor'!$D$11:$H$110,'Material editor'!$H$8,0),"")</f>
        <v/>
      </c>
      <c r="R188" s="418"/>
      <c r="S188" s="407"/>
      <c r="T188" s="94"/>
      <c r="U188" s="136" t="str">
        <f>IF(ISNUMBER(VLOOKUP(LEFT(R188,3),'Material editor'!$D$11:$H$110,'Material editor'!$E$8,0)),VLOOKUP(LEFT(R188,3),'Material editor'!$D$11:$H$110,'Material editor'!$E$8,0),"")</f>
        <v/>
      </c>
      <c r="V188" s="137" t="str">
        <f>IF(ISNUMBER(VLOOKUP(LEFT(R188,3),'Material editor'!$D$11:$H$110,'Material editor'!$F$8,0)),VLOOKUP(LEFT(R188,3),'Material editor'!$D$11:$H$110,'Material editor'!$F$8,0),"")</f>
        <v/>
      </c>
      <c r="W188" s="137" t="str">
        <f>IF(ISNUMBER(VLOOKUP(LEFT(R188,3),'Material editor'!$D$11:$H$110,'Material editor'!$G$8,0)),VLOOKUP(LEFT(R188,3),'Material editor'!$D$11:$H$110,'Material editor'!$G$8,0),"")</f>
        <v/>
      </c>
      <c r="X188" s="137" t="str">
        <f>IF(ISNUMBER(VLOOKUP(LEFT(R188,3),'Material editor'!$D$11:$H$110,'Material editor'!$H$8,0)),VLOOKUP(LEFT(R188,3),'Material editor'!$D$11:$H$110,'Material editor'!$H$8,0),"")</f>
        <v/>
      </c>
      <c r="Y188" s="74"/>
      <c r="Z188" s="94">
        <v>175</v>
      </c>
      <c r="AA188" s="8"/>
      <c r="AB188" s="61"/>
      <c r="AC188" s="65"/>
      <c r="AD188" s="65"/>
      <c r="AE188" s="95">
        <f t="shared" si="134"/>
        <v>0.17499999999999999</v>
      </c>
      <c r="AF188" s="95">
        <f t="shared" si="135"/>
        <v>0.17499999999999999</v>
      </c>
      <c r="AG188" s="95">
        <f t="shared" si="136"/>
        <v>0.17499999999999999</v>
      </c>
      <c r="AH188" s="65"/>
      <c r="AI188" s="95">
        <f t="shared" si="137"/>
        <v>1</v>
      </c>
      <c r="AJ188" s="95">
        <f t="shared" si="138"/>
        <v>1</v>
      </c>
      <c r="AK188" s="95">
        <f t="shared" si="139"/>
        <v>1</v>
      </c>
      <c r="AL188" s="65"/>
      <c r="AM188" s="96">
        <f t="shared" ref="AM188:AO188" si="141">AM187</f>
        <v>1</v>
      </c>
      <c r="AN188" s="96">
        <f t="shared" si="141"/>
        <v>0</v>
      </c>
      <c r="AO188" s="96">
        <f t="shared" si="141"/>
        <v>0</v>
      </c>
      <c r="AP188" s="65">
        <f t="shared" si="140"/>
        <v>0.17499999999999999</v>
      </c>
      <c r="AQ188" s="65"/>
      <c r="AR188" s="65"/>
      <c r="AS188" s="65"/>
      <c r="AT188" s="95">
        <f>IF(ISNUMBER(H188),H188*F188*Z188/1000*Balance!$H$13/J188,0)</f>
        <v>26.865106516810261</v>
      </c>
      <c r="AU188" s="95">
        <f>IF(ISTEXT(K188),IF(ISNUMBER(O188),O188*M188*Z188/1000*Balance!$H$13/Q188,0),AT188)</f>
        <v>26.865106516810261</v>
      </c>
      <c r="AV188" s="95">
        <f>IF(ISTEXT(R188),IF(ISNUMBER(V188),V188*T188*Z188/1000*Balance!$H$13/X188,0),AT188)</f>
        <v>26.865106516810261</v>
      </c>
      <c r="AW188" s="65"/>
      <c r="AX188" s="95">
        <f>AT188*AX185</f>
        <v>26.865106516810261</v>
      </c>
      <c r="AY188" s="95">
        <f>AU188*AY185</f>
        <v>0</v>
      </c>
      <c r="AZ188" s="95">
        <f>AV188*AZ185</f>
        <v>0</v>
      </c>
      <c r="BA188" s="95">
        <f t="shared" ref="BA188:BA194" si="142">SUM(AX188:AZ188)</f>
        <v>26.865106516810261</v>
      </c>
      <c r="BB188" s="65"/>
      <c r="BC188" s="95">
        <f>IF(ISNUMBER(I188),I188*F188*Z188/1000*Balance!$H$13/J188,0)</f>
        <v>13.238006141206222</v>
      </c>
      <c r="BD188" s="95">
        <f>IF(ISTEXT(K188),IF(ISNUMBER(P188),P188*M188*Z188/1000*Balance!$H$13/Q188,0),BC188)</f>
        <v>13.238006141206222</v>
      </c>
      <c r="BE188" s="95">
        <f>IF(ISTEXT(R188),IF(ISNUMBER(W188),W188*T188*Z188/1000*Balance!$H$13/X188,0),BC188)</f>
        <v>13.238006141206222</v>
      </c>
      <c r="BF188" s="65"/>
      <c r="BG188" s="95">
        <f>BC188*BG185</f>
        <v>13.238006141206222</v>
      </c>
      <c r="BH188" s="95">
        <f>BD188*BH185</f>
        <v>0</v>
      </c>
      <c r="BI188" s="95">
        <f>BE188*BI185</f>
        <v>0</v>
      </c>
      <c r="BJ188" s="95">
        <f t="shared" ref="BJ188:BJ194" si="143">SUM(BG188:BI188)</f>
        <v>13.238006141206222</v>
      </c>
      <c r="BK188" s="65"/>
      <c r="BL188" s="65"/>
      <c r="BM188" s="65"/>
    </row>
    <row r="189" spans="1:65" outlineLevel="1" x14ac:dyDescent="0.25">
      <c r="A189" s="61"/>
      <c r="B189" s="272"/>
      <c r="C189" s="91"/>
      <c r="D189" s="418" t="s">
        <v>1012</v>
      </c>
      <c r="E189" s="419"/>
      <c r="F189" s="94">
        <v>1</v>
      </c>
      <c r="G189" s="136">
        <f>IF(ISNUMBER(VLOOKUP(LEFT(D189,3),'Material editor'!$D$11:$H$110,'Material editor'!$E$8,0)),VLOOKUP(LEFT(D189,3),'Material editor'!$D$11:$H$110,'Material editor'!$E$8,0),"")</f>
        <v>4.4999999999999998E-2</v>
      </c>
      <c r="H189" s="137">
        <f>IF(ISNUMBER(VLOOKUP(LEFT(D189,3),'Material editor'!$D$11:$H$110,'Material editor'!$F$8,0)),VLOOKUP(LEFT(D189,3),'Material editor'!$D$11:$H$110,'Material editor'!$F$8,0),"")</f>
        <v>700.38883783406686</v>
      </c>
      <c r="I189" s="137">
        <f>IF(ISNUMBER(VLOOKUP(LEFT(D189,3),'Material editor'!$D$11:$H$110,'Material editor'!$G$8,0)),VLOOKUP(LEFT(D189,3),'Material editor'!$D$11:$H$110,'Material editor'!$G$8,0),"")</f>
        <v>-153.896768984163</v>
      </c>
      <c r="J189" s="137">
        <f>IF(ISNUMBER(VLOOKUP(LEFT(D189,3),'Material editor'!$D$11:$H$110,'Material editor'!$H$8,0)),VLOOKUP(LEFT(D189,3),'Material editor'!$D$11:$H$110,'Material editor'!$H$8,0),"")</f>
        <v>40</v>
      </c>
      <c r="K189" s="418"/>
      <c r="L189" s="407"/>
      <c r="M189" s="94"/>
      <c r="N189" s="136" t="str">
        <f>IF(ISNUMBER(VLOOKUP(LEFT(K189,3),'Material editor'!$D$11:$H$110,'Material editor'!$E$8,0)),VLOOKUP(LEFT(K189,3),'Material editor'!$D$11:$H$110,'Material editor'!$E$8,0),"")</f>
        <v/>
      </c>
      <c r="O189" s="137" t="str">
        <f>IF(ISNUMBER(VLOOKUP(LEFT(K189,3),'Material editor'!$D$11:$H$110,'Material editor'!$F$8,0)),VLOOKUP(LEFT(K189,3),'Material editor'!$D$11:$H$110,'Material editor'!$F$8,0),"")</f>
        <v/>
      </c>
      <c r="P189" s="137" t="str">
        <f>IF(ISNUMBER(VLOOKUP(LEFT(K189,3),'Material editor'!$D$11:$H$110,'Material editor'!$G$8,0)),VLOOKUP(LEFT(K189,3),'Material editor'!$D$11:$H$110,'Material editor'!$G$8,0),"")</f>
        <v/>
      </c>
      <c r="Q189" s="137" t="str">
        <f>IF(ISNUMBER(VLOOKUP(LEFT(K189,3),'Material editor'!$D$11:$H$110,'Material editor'!$H$8,0)),VLOOKUP(LEFT(K189,3),'Material editor'!$D$11:$H$110,'Material editor'!$H$8,0),"")</f>
        <v/>
      </c>
      <c r="R189" s="418"/>
      <c r="S189" s="407"/>
      <c r="T189" s="94"/>
      <c r="U189" s="136" t="str">
        <f>IF(ISNUMBER(VLOOKUP(LEFT(R189,3),'Material editor'!$D$11:$H$110,'Material editor'!$E$8,0)),VLOOKUP(LEFT(R189,3),'Material editor'!$D$11:$H$110,'Material editor'!$E$8,0),"")</f>
        <v/>
      </c>
      <c r="V189" s="137" t="str">
        <f>IF(ISNUMBER(VLOOKUP(LEFT(R189,3),'Material editor'!$D$11:$H$110,'Material editor'!$F$8,0)),VLOOKUP(LEFT(R189,3),'Material editor'!$D$11:$H$110,'Material editor'!$F$8,0),"")</f>
        <v/>
      </c>
      <c r="W189" s="137" t="str">
        <f>IF(ISNUMBER(VLOOKUP(LEFT(R189,3),'Material editor'!$D$11:$H$110,'Material editor'!$G$8,0)),VLOOKUP(LEFT(R189,3),'Material editor'!$D$11:$H$110,'Material editor'!$G$8,0),"")</f>
        <v/>
      </c>
      <c r="X189" s="137" t="str">
        <f>IF(ISNUMBER(VLOOKUP(LEFT(R189,3),'Material editor'!$D$11:$H$110,'Material editor'!$H$8,0)),VLOOKUP(LEFT(R189,3),'Material editor'!$D$11:$H$110,'Material editor'!$H$8,0),"")</f>
        <v/>
      </c>
      <c r="Y189" s="74"/>
      <c r="Z189" s="94">
        <v>286</v>
      </c>
      <c r="AA189" s="8"/>
      <c r="AB189" s="61"/>
      <c r="AC189" s="65"/>
      <c r="AD189" s="65"/>
      <c r="AE189" s="95">
        <f t="shared" si="134"/>
        <v>6.3555555555555552</v>
      </c>
      <c r="AF189" s="95">
        <f t="shared" si="135"/>
        <v>6.3555555555555552</v>
      </c>
      <c r="AG189" s="95">
        <f t="shared" si="136"/>
        <v>6.3555555555555552</v>
      </c>
      <c r="AH189" s="65"/>
      <c r="AI189" s="95">
        <f t="shared" si="137"/>
        <v>4.4999999999999998E-2</v>
      </c>
      <c r="AJ189" s="95">
        <f t="shared" si="138"/>
        <v>4.4999999999999998E-2</v>
      </c>
      <c r="AK189" s="95">
        <f t="shared" si="139"/>
        <v>4.4999999999999998E-2</v>
      </c>
      <c r="AL189" s="65"/>
      <c r="AM189" s="96">
        <f t="shared" ref="AM189:AO189" si="144">AM188</f>
        <v>1</v>
      </c>
      <c r="AN189" s="96">
        <f t="shared" si="144"/>
        <v>0</v>
      </c>
      <c r="AO189" s="96">
        <f t="shared" si="144"/>
        <v>0</v>
      </c>
      <c r="AP189" s="65">
        <f t="shared" si="140"/>
        <v>6.3555555555555552</v>
      </c>
      <c r="AQ189" s="65"/>
      <c r="AR189" s="65"/>
      <c r="AS189" s="65"/>
      <c r="AT189" s="95">
        <f>IF(ISNUMBER(H189),H189*F189*Z189/1000*Balance!$H$13/J189,0)</f>
        <v>100.15560381027157</v>
      </c>
      <c r="AU189" s="95">
        <f>IF(ISTEXT(K189),IF(ISNUMBER(O189),O189*M189*Z189/1000*Balance!$H$13/Q189,0),AT189)</f>
        <v>100.15560381027157</v>
      </c>
      <c r="AV189" s="95">
        <f>IF(ISTEXT(R189),IF(ISNUMBER(V189),V189*T189*Z189/1000*Balance!$H$13/X189,0),AT189)</f>
        <v>100.15560381027157</v>
      </c>
      <c r="AW189" s="65"/>
      <c r="AX189" s="95">
        <f>AT189*AX185</f>
        <v>100.15560381027157</v>
      </c>
      <c r="AY189" s="95">
        <f>AU189*AY185</f>
        <v>0</v>
      </c>
      <c r="AZ189" s="95">
        <f>AV189*AZ185</f>
        <v>0</v>
      </c>
      <c r="BA189" s="95">
        <f t="shared" si="142"/>
        <v>100.15560381027157</v>
      </c>
      <c r="BB189" s="65"/>
      <c r="BC189" s="95">
        <f>IF(ISNUMBER(I189),I189*F189*Z189/1000*Balance!$H$13/J189,0)</f>
        <v>-22.007237964735307</v>
      </c>
      <c r="BD189" s="95">
        <f>IF(ISTEXT(K189),IF(ISNUMBER(P189),P189*M189*Z189/1000*Balance!$H$13/Q189,0),BC189)</f>
        <v>-22.007237964735307</v>
      </c>
      <c r="BE189" s="95">
        <f>IF(ISTEXT(R189),IF(ISNUMBER(W189),W189*T189*Z189/1000*Balance!$H$13/X189,0),BC189)</f>
        <v>-22.007237964735307</v>
      </c>
      <c r="BF189" s="65"/>
      <c r="BG189" s="95">
        <f>BC189*BG185</f>
        <v>-22.007237964735307</v>
      </c>
      <c r="BH189" s="95">
        <f>BD189*BH185</f>
        <v>0</v>
      </c>
      <c r="BI189" s="95">
        <f>BE189*BI185</f>
        <v>0</v>
      </c>
      <c r="BJ189" s="95">
        <f t="shared" si="143"/>
        <v>-22.007237964735307</v>
      </c>
      <c r="BK189" s="65"/>
      <c r="BL189" s="65"/>
      <c r="BM189" s="65"/>
    </row>
    <row r="190" spans="1:65" outlineLevel="1" x14ac:dyDescent="0.25">
      <c r="A190" s="61"/>
      <c r="B190" s="272"/>
      <c r="C190" s="91"/>
      <c r="D190" s="418" t="s">
        <v>1026</v>
      </c>
      <c r="E190" s="419"/>
      <c r="F190" s="94">
        <v>1</v>
      </c>
      <c r="G190" s="136">
        <f>IF(ISNUMBER(VLOOKUP(LEFT(D190,3),'Material editor'!$D$11:$H$110,'Material editor'!$E$8,0)),VLOOKUP(LEFT(D190,3),'Material editor'!$D$11:$H$110,'Material editor'!$E$8,0),"")</f>
        <v>0.7</v>
      </c>
      <c r="H190" s="137">
        <f>IF(ISNUMBER(VLOOKUP(LEFT(D190,3),'Material editor'!$D$11:$H$110,'Material editor'!$F$8,0)),VLOOKUP(LEFT(D190,3),'Material editor'!$D$11:$H$110,'Material editor'!$F$8,0),"")</f>
        <v>496.23211201094273</v>
      </c>
      <c r="I190" s="137">
        <f>IF(ISNUMBER(VLOOKUP(LEFT(D190,3),'Material editor'!$D$11:$H$110,'Material editor'!$G$8,0)),VLOOKUP(LEFT(D190,3),'Material editor'!$D$11:$H$110,'Material editor'!$G$8,0),"")</f>
        <v>103.94883076360401</v>
      </c>
      <c r="J190" s="137">
        <f>IF(ISNUMBER(VLOOKUP(LEFT(D190,3),'Material editor'!$D$11:$H$110,'Material editor'!$H$8,0)),VLOOKUP(LEFT(D190,3),'Material editor'!$D$11:$H$110,'Material editor'!$H$8,0),"")</f>
        <v>40</v>
      </c>
      <c r="K190" s="418"/>
      <c r="L190" s="407"/>
      <c r="M190" s="94"/>
      <c r="N190" s="136" t="str">
        <f>IF(ISNUMBER(VLOOKUP(LEFT(K190,3),'Material editor'!$D$11:$H$110,'Material editor'!$E$8,0)),VLOOKUP(LEFT(K190,3),'Material editor'!$D$11:$H$110,'Material editor'!$E$8,0),"")</f>
        <v/>
      </c>
      <c r="O190" s="137" t="str">
        <f>IF(ISNUMBER(VLOOKUP(LEFT(K190,3),'Material editor'!$D$11:$H$110,'Material editor'!$F$8,0)),VLOOKUP(LEFT(K190,3),'Material editor'!$D$11:$H$110,'Material editor'!$F$8,0),"")</f>
        <v/>
      </c>
      <c r="P190" s="137" t="str">
        <f>IF(ISNUMBER(VLOOKUP(LEFT(K190,3),'Material editor'!$D$11:$H$110,'Material editor'!$G$8,0)),VLOOKUP(LEFT(K190,3),'Material editor'!$D$11:$H$110,'Material editor'!$G$8,0),"")</f>
        <v/>
      </c>
      <c r="Q190" s="137" t="str">
        <f>IF(ISNUMBER(VLOOKUP(LEFT(K190,3),'Material editor'!$D$11:$H$110,'Material editor'!$H$8,0)),VLOOKUP(LEFT(K190,3),'Material editor'!$D$11:$H$110,'Material editor'!$H$8,0),"")</f>
        <v/>
      </c>
      <c r="R190" s="418"/>
      <c r="S190" s="407"/>
      <c r="T190" s="94"/>
      <c r="U190" s="136" t="str">
        <f>IF(ISNUMBER(VLOOKUP(LEFT(R190,3),'Material editor'!$D$11:$H$110,'Material editor'!$E$8,0)),VLOOKUP(LEFT(R190,3),'Material editor'!$D$11:$H$110,'Material editor'!$E$8,0),"")</f>
        <v/>
      </c>
      <c r="V190" s="137" t="str">
        <f>IF(ISNUMBER(VLOOKUP(LEFT(R190,3),'Material editor'!$D$11:$H$110,'Material editor'!$F$8,0)),VLOOKUP(LEFT(R190,3),'Material editor'!$D$11:$H$110,'Material editor'!$F$8,0),"")</f>
        <v/>
      </c>
      <c r="W190" s="137" t="str">
        <f>IF(ISNUMBER(VLOOKUP(LEFT(R190,3),'Material editor'!$D$11:$H$110,'Material editor'!$G$8,0)),VLOOKUP(LEFT(R190,3),'Material editor'!$D$11:$H$110,'Material editor'!$G$8,0),"")</f>
        <v/>
      </c>
      <c r="X190" s="137" t="str">
        <f>IF(ISNUMBER(VLOOKUP(LEFT(R190,3),'Material editor'!$D$11:$H$110,'Material editor'!$H$8,0)),VLOOKUP(LEFT(R190,3),'Material editor'!$D$11:$H$110,'Material editor'!$H$8,0),"")</f>
        <v/>
      </c>
      <c r="Y190" s="74"/>
      <c r="Z190" s="94">
        <v>4</v>
      </c>
      <c r="AA190" s="8"/>
      <c r="AB190" s="61"/>
      <c r="AC190" s="65"/>
      <c r="AD190" s="65"/>
      <c r="AE190" s="95">
        <f t="shared" si="134"/>
        <v>5.7142857142857151E-3</v>
      </c>
      <c r="AF190" s="95">
        <f t="shared" si="135"/>
        <v>5.7142857142857151E-3</v>
      </c>
      <c r="AG190" s="95">
        <f t="shared" si="136"/>
        <v>5.7142857142857151E-3</v>
      </c>
      <c r="AH190" s="65"/>
      <c r="AI190" s="95">
        <f t="shared" si="137"/>
        <v>0.7</v>
      </c>
      <c r="AJ190" s="95">
        <f t="shared" si="138"/>
        <v>0.7</v>
      </c>
      <c r="AK190" s="95">
        <f t="shared" si="139"/>
        <v>0.7</v>
      </c>
      <c r="AL190" s="65"/>
      <c r="AM190" s="96">
        <f t="shared" ref="AM190:AO190" si="145">AM189</f>
        <v>1</v>
      </c>
      <c r="AN190" s="96">
        <f t="shared" si="145"/>
        <v>0</v>
      </c>
      <c r="AO190" s="96">
        <f t="shared" si="145"/>
        <v>0</v>
      </c>
      <c r="AP190" s="65">
        <f t="shared" si="140"/>
        <v>5.7142857142857151E-3</v>
      </c>
      <c r="AQ190" s="65"/>
      <c r="AR190" s="65"/>
      <c r="AS190" s="65"/>
      <c r="AT190" s="95">
        <f>IF(ISNUMBER(H190),H190*F190*Z190/1000*Balance!$H$13/J190,0)</f>
        <v>0.9924642240218855</v>
      </c>
      <c r="AU190" s="95">
        <f>IF(ISTEXT(K190),IF(ISNUMBER(O190),O190*M190*Z190/1000*Balance!$H$13/Q190,0),AT190)</f>
        <v>0.9924642240218855</v>
      </c>
      <c r="AV190" s="95">
        <f>IF(ISTEXT(R190),IF(ISNUMBER(V190),V190*T190*Z190/1000*Balance!$H$13/X190,0),AT190)</f>
        <v>0.9924642240218855</v>
      </c>
      <c r="AW190" s="65"/>
      <c r="AX190" s="95">
        <f>AT190*AX185</f>
        <v>0.9924642240218855</v>
      </c>
      <c r="AY190" s="95">
        <f>AU190*AY185</f>
        <v>0</v>
      </c>
      <c r="AZ190" s="95">
        <f>AV190*AZ185</f>
        <v>0</v>
      </c>
      <c r="BA190" s="95">
        <f t="shared" si="142"/>
        <v>0.9924642240218855</v>
      </c>
      <c r="BB190" s="65"/>
      <c r="BC190" s="95">
        <f>IF(ISNUMBER(I190),I190*F190*Z190/1000*Balance!$H$13/J190,0)</f>
        <v>0.20789766152720804</v>
      </c>
      <c r="BD190" s="95">
        <f>IF(ISTEXT(K190),IF(ISNUMBER(P190),P190*M190*Z190/1000*Balance!$H$13/Q190,0),BC190)</f>
        <v>0.20789766152720804</v>
      </c>
      <c r="BE190" s="95">
        <f>IF(ISTEXT(R190),IF(ISNUMBER(W190),W190*T190*Z190/1000*Balance!$H$13/X190,0),BC190)</f>
        <v>0.20789766152720804</v>
      </c>
      <c r="BF190" s="65"/>
      <c r="BG190" s="95">
        <f>BC190*BG185</f>
        <v>0.20789766152720804</v>
      </c>
      <c r="BH190" s="95">
        <f>BD190*BH185</f>
        <v>0</v>
      </c>
      <c r="BI190" s="95">
        <f>BE190*BI185</f>
        <v>0</v>
      </c>
      <c r="BJ190" s="95">
        <f t="shared" si="143"/>
        <v>0.20789766152720804</v>
      </c>
      <c r="BK190" s="65"/>
      <c r="BL190" s="65"/>
      <c r="BM190" s="65"/>
    </row>
    <row r="191" spans="1:65" outlineLevel="1" x14ac:dyDescent="0.25">
      <c r="A191" s="61"/>
      <c r="B191" s="272"/>
      <c r="C191" s="91"/>
      <c r="D191" s="418" t="s">
        <v>1027</v>
      </c>
      <c r="E191" s="419"/>
      <c r="F191" s="94">
        <v>1</v>
      </c>
      <c r="G191" s="136">
        <f>IF(ISNUMBER(VLOOKUP(LEFT(D191,3),'Material editor'!$D$11:$H$110,'Material editor'!$E$8,0)),VLOOKUP(LEFT(D191,3),'Material editor'!$D$11:$H$110,'Material editor'!$E$8,0),"")</f>
        <v>1</v>
      </c>
      <c r="H191" s="137">
        <f>IF(ISNUMBER(VLOOKUP(LEFT(D191,3),'Material editor'!$D$11:$H$110,'Material editor'!$F$8,0)),VLOOKUP(LEFT(D191,3),'Material editor'!$D$11:$H$110,'Material editor'!$F$8,0),"")</f>
        <v>905.22046069906946</v>
      </c>
      <c r="I191" s="137">
        <f>IF(ISNUMBER(VLOOKUP(LEFT(D191,3),'Material editor'!$D$11:$H$110,'Material editor'!$G$8,0)),VLOOKUP(LEFT(D191,3),'Material editor'!$D$11:$H$110,'Material editor'!$G$8,0),"")</f>
        <v>354.91241395986202</v>
      </c>
      <c r="J191" s="137">
        <f>IF(ISNUMBER(VLOOKUP(LEFT(D191,3),'Material editor'!$D$11:$H$110,'Material editor'!$H$8,0)),VLOOKUP(LEFT(D191,3),'Material editor'!$D$11:$H$110,'Material editor'!$H$8,0),"")</f>
        <v>40</v>
      </c>
      <c r="K191" s="418"/>
      <c r="L191" s="407"/>
      <c r="M191" s="94"/>
      <c r="N191" s="136" t="str">
        <f>IF(ISNUMBER(VLOOKUP(LEFT(K191,3),'Material editor'!$D$11:$H$110,'Material editor'!$E$8,0)),VLOOKUP(LEFT(K191,3),'Material editor'!$D$11:$H$110,'Material editor'!$E$8,0),"")</f>
        <v/>
      </c>
      <c r="O191" s="137" t="str">
        <f>IF(ISNUMBER(VLOOKUP(LEFT(K191,3),'Material editor'!$D$11:$H$110,'Material editor'!$F$8,0)),VLOOKUP(LEFT(K191,3),'Material editor'!$D$11:$H$110,'Material editor'!$F$8,0),"")</f>
        <v/>
      </c>
      <c r="P191" s="137" t="str">
        <f>IF(ISNUMBER(VLOOKUP(LEFT(K191,3),'Material editor'!$D$11:$H$110,'Material editor'!$G$8,0)),VLOOKUP(LEFT(K191,3),'Material editor'!$D$11:$H$110,'Material editor'!$G$8,0),"")</f>
        <v/>
      </c>
      <c r="Q191" s="137" t="str">
        <f>IF(ISNUMBER(VLOOKUP(LEFT(K191,3),'Material editor'!$D$11:$H$110,'Material editor'!$H$8,0)),VLOOKUP(LEFT(K191,3),'Material editor'!$D$11:$H$110,'Material editor'!$H$8,0),"")</f>
        <v/>
      </c>
      <c r="R191" s="418"/>
      <c r="S191" s="407"/>
      <c r="T191" s="94"/>
      <c r="U191" s="136" t="str">
        <f>IF(ISNUMBER(VLOOKUP(LEFT(R191,3),'Material editor'!$D$11:$H$110,'Material editor'!$E$8,0)),VLOOKUP(LEFT(R191,3),'Material editor'!$D$11:$H$110,'Material editor'!$E$8,0),"")</f>
        <v/>
      </c>
      <c r="V191" s="137" t="str">
        <f>IF(ISNUMBER(VLOOKUP(LEFT(R191,3),'Material editor'!$D$11:$H$110,'Material editor'!$F$8,0)),VLOOKUP(LEFT(R191,3),'Material editor'!$D$11:$H$110,'Material editor'!$F$8,0),"")</f>
        <v/>
      </c>
      <c r="W191" s="137" t="str">
        <f>IF(ISNUMBER(VLOOKUP(LEFT(R191,3),'Material editor'!$D$11:$H$110,'Material editor'!$G$8,0)),VLOOKUP(LEFT(R191,3),'Material editor'!$D$11:$H$110,'Material editor'!$G$8,0),"")</f>
        <v/>
      </c>
      <c r="X191" s="137" t="str">
        <f>IF(ISNUMBER(VLOOKUP(LEFT(R191,3),'Material editor'!$D$11:$H$110,'Material editor'!$H$8,0)),VLOOKUP(LEFT(R191,3),'Material editor'!$D$11:$H$110,'Material editor'!$H$8,0),"")</f>
        <v/>
      </c>
      <c r="Y191" s="74"/>
      <c r="Z191" s="94">
        <v>20</v>
      </c>
      <c r="AA191" s="8"/>
      <c r="AB191" s="61"/>
      <c r="AC191" s="65"/>
      <c r="AD191" s="65"/>
      <c r="AE191" s="95">
        <f t="shared" si="134"/>
        <v>0.02</v>
      </c>
      <c r="AF191" s="95">
        <f t="shared" si="135"/>
        <v>0.02</v>
      </c>
      <c r="AG191" s="95">
        <f t="shared" si="136"/>
        <v>0.02</v>
      </c>
      <c r="AH191" s="65"/>
      <c r="AI191" s="95">
        <f t="shared" si="137"/>
        <v>1</v>
      </c>
      <c r="AJ191" s="95">
        <f t="shared" si="138"/>
        <v>1</v>
      </c>
      <c r="AK191" s="95">
        <f t="shared" si="139"/>
        <v>1</v>
      </c>
      <c r="AL191" s="65"/>
      <c r="AM191" s="96">
        <f t="shared" ref="AM191:AO191" si="146">AM190</f>
        <v>1</v>
      </c>
      <c r="AN191" s="96">
        <f t="shared" si="146"/>
        <v>0</v>
      </c>
      <c r="AO191" s="96">
        <f t="shared" si="146"/>
        <v>0</v>
      </c>
      <c r="AP191" s="65">
        <f t="shared" si="140"/>
        <v>0.02</v>
      </c>
      <c r="AQ191" s="65"/>
      <c r="AR191" s="65"/>
      <c r="AS191" s="65"/>
      <c r="AT191" s="95">
        <f>IF(ISNUMBER(H191),H191*F191*Z191/1000*Balance!$H$13/J191,0)</f>
        <v>9.0522046069906938</v>
      </c>
      <c r="AU191" s="95">
        <f>IF(ISTEXT(K191),IF(ISNUMBER(O191),O191*M191*Z191/1000*Balance!$H$13/Q191,0),AT191)</f>
        <v>9.0522046069906938</v>
      </c>
      <c r="AV191" s="95">
        <f>IF(ISTEXT(R191),IF(ISNUMBER(V191),V191*T191*Z191/1000*Balance!$H$13/X191,0),AT191)</f>
        <v>9.0522046069906938</v>
      </c>
      <c r="AW191" s="65"/>
      <c r="AX191" s="95">
        <f>AT191*AX185</f>
        <v>9.0522046069906938</v>
      </c>
      <c r="AY191" s="95">
        <f>AU191*AY185</f>
        <v>0</v>
      </c>
      <c r="AZ191" s="95">
        <f>AV191*AZ185</f>
        <v>0</v>
      </c>
      <c r="BA191" s="95">
        <f t="shared" si="142"/>
        <v>9.0522046069906938</v>
      </c>
      <c r="BB191" s="65"/>
      <c r="BC191" s="95">
        <f>IF(ISNUMBER(I191),I191*F191*Z191/1000*Balance!$H$13/J191,0)</f>
        <v>3.5491241395986202</v>
      </c>
      <c r="BD191" s="95">
        <f>IF(ISTEXT(K191),IF(ISNUMBER(P191),P191*M191*Z191/1000*Balance!$H$13/Q191,0),BC191)</f>
        <v>3.5491241395986202</v>
      </c>
      <c r="BE191" s="95">
        <f>IF(ISTEXT(R191),IF(ISNUMBER(W191),W191*T191*Z191/1000*Balance!$H$13/X191,0),BC191)</f>
        <v>3.5491241395986202</v>
      </c>
      <c r="BF191" s="65"/>
      <c r="BG191" s="95">
        <f>BC191*BG185</f>
        <v>3.5491241395986202</v>
      </c>
      <c r="BH191" s="95">
        <f>BD191*BH185</f>
        <v>0</v>
      </c>
      <c r="BI191" s="95">
        <f>BE191*BI185</f>
        <v>0</v>
      </c>
      <c r="BJ191" s="95">
        <f t="shared" si="143"/>
        <v>3.5491241395986202</v>
      </c>
      <c r="BK191" s="65"/>
      <c r="BL191" s="65"/>
      <c r="BM191" s="65"/>
    </row>
    <row r="192" spans="1:65" outlineLevel="1" x14ac:dyDescent="0.25">
      <c r="A192" s="61"/>
      <c r="B192" s="272"/>
      <c r="C192" s="91"/>
      <c r="D192" s="418"/>
      <c r="E192" s="419"/>
      <c r="F192" s="94"/>
      <c r="G192" s="136" t="str">
        <f>IF(ISNUMBER(VLOOKUP(LEFT(D192,3),'Material editor'!$D$11:$H$110,'Material editor'!$E$8,0)),VLOOKUP(LEFT(D192,3),'Material editor'!$D$11:$H$110,'Material editor'!$E$8,0),"")</f>
        <v/>
      </c>
      <c r="H192" s="137" t="str">
        <f>IF(ISNUMBER(VLOOKUP(LEFT(D192,3),'Material editor'!$D$11:$H$110,'Material editor'!$F$8,0)),VLOOKUP(LEFT(D192,3),'Material editor'!$D$11:$H$110,'Material editor'!$F$8,0),"")</f>
        <v/>
      </c>
      <c r="I192" s="137" t="str">
        <f>IF(ISNUMBER(VLOOKUP(LEFT(D192,3),'Material editor'!$D$11:$H$110,'Material editor'!$G$8,0)),VLOOKUP(LEFT(D192,3),'Material editor'!$D$11:$H$110,'Material editor'!$G$8,0),"")</f>
        <v/>
      </c>
      <c r="J192" s="137" t="str">
        <f>IF(ISNUMBER(VLOOKUP(LEFT(D192,3),'Material editor'!$D$11:$H$110,'Material editor'!$H$8,0)),VLOOKUP(LEFT(D192,3),'Material editor'!$D$11:$H$110,'Material editor'!$H$8,0),"")</f>
        <v/>
      </c>
      <c r="K192" s="418"/>
      <c r="L192" s="407"/>
      <c r="M192" s="94"/>
      <c r="N192" s="136" t="str">
        <f>IF(ISNUMBER(VLOOKUP(LEFT(K192,3),'Material editor'!$D$11:$H$110,'Material editor'!$E$8,0)),VLOOKUP(LEFT(K192,3),'Material editor'!$D$11:$H$110,'Material editor'!$E$8,0),"")</f>
        <v/>
      </c>
      <c r="O192" s="137" t="str">
        <f>IF(ISNUMBER(VLOOKUP(LEFT(K192,3),'Material editor'!$D$11:$H$110,'Material editor'!$F$8,0)),VLOOKUP(LEFT(K192,3),'Material editor'!$D$11:$H$110,'Material editor'!$F$8,0),"")</f>
        <v/>
      </c>
      <c r="P192" s="137" t="str">
        <f>IF(ISNUMBER(VLOOKUP(LEFT(K192,3),'Material editor'!$D$11:$H$110,'Material editor'!$G$8,0)),VLOOKUP(LEFT(K192,3),'Material editor'!$D$11:$H$110,'Material editor'!$G$8,0),"")</f>
        <v/>
      </c>
      <c r="Q192" s="137" t="str">
        <f>IF(ISNUMBER(VLOOKUP(LEFT(K192,3),'Material editor'!$D$11:$H$110,'Material editor'!$H$8,0)),VLOOKUP(LEFT(K192,3),'Material editor'!$D$11:$H$110,'Material editor'!$H$8,0),"")</f>
        <v/>
      </c>
      <c r="R192" s="418"/>
      <c r="S192" s="407"/>
      <c r="T192" s="94"/>
      <c r="U192" s="136" t="str">
        <f>IF(ISNUMBER(VLOOKUP(LEFT(R192,3),'Material editor'!$D$11:$H$110,'Material editor'!$E$8,0)),VLOOKUP(LEFT(R192,3),'Material editor'!$D$11:$H$110,'Material editor'!$E$8,0),"")</f>
        <v/>
      </c>
      <c r="V192" s="137" t="str">
        <f>IF(ISNUMBER(VLOOKUP(LEFT(R192,3),'Material editor'!$D$11:$H$110,'Material editor'!$F$8,0)),VLOOKUP(LEFT(R192,3),'Material editor'!$D$11:$H$110,'Material editor'!$F$8,0),"")</f>
        <v/>
      </c>
      <c r="W192" s="137" t="str">
        <f>IF(ISNUMBER(VLOOKUP(LEFT(R192,3),'Material editor'!$D$11:$H$110,'Material editor'!$G$8,0)),VLOOKUP(LEFT(R192,3),'Material editor'!$D$11:$H$110,'Material editor'!$G$8,0),"")</f>
        <v/>
      </c>
      <c r="X192" s="137" t="str">
        <f>IF(ISNUMBER(VLOOKUP(LEFT(R192,3),'Material editor'!$D$11:$H$110,'Material editor'!$H$8,0)),VLOOKUP(LEFT(R192,3),'Material editor'!$D$11:$H$110,'Material editor'!$H$8,0),"")</f>
        <v/>
      </c>
      <c r="Y192" s="74"/>
      <c r="Z192" s="94"/>
      <c r="AA192" s="8"/>
      <c r="AB192" s="61"/>
      <c r="AC192" s="65"/>
      <c r="AD192" s="65"/>
      <c r="AE192" s="95">
        <f t="shared" si="134"/>
        <v>0</v>
      </c>
      <c r="AF192" s="95">
        <f t="shared" si="135"/>
        <v>0</v>
      </c>
      <c r="AG192" s="95">
        <f t="shared" si="136"/>
        <v>0</v>
      </c>
      <c r="AH192" s="65"/>
      <c r="AI192" s="95">
        <f t="shared" si="137"/>
        <v>0</v>
      </c>
      <c r="AJ192" s="95">
        <f t="shared" si="138"/>
        <v>0</v>
      </c>
      <c r="AK192" s="95">
        <f t="shared" si="139"/>
        <v>0</v>
      </c>
      <c r="AL192" s="65"/>
      <c r="AM192" s="96">
        <f t="shared" ref="AM192:AO192" si="147">AM191</f>
        <v>1</v>
      </c>
      <c r="AN192" s="96">
        <f t="shared" si="147"/>
        <v>0</v>
      </c>
      <c r="AO192" s="96">
        <f t="shared" si="147"/>
        <v>0</v>
      </c>
      <c r="AP192" s="65">
        <f t="shared" si="140"/>
        <v>0</v>
      </c>
      <c r="AQ192" s="65"/>
      <c r="AR192" s="65"/>
      <c r="AS192" s="66"/>
      <c r="AT192" s="95">
        <f>IF(ISNUMBER(H192),H192*F192*Z192/1000*Balance!$H$13/J192,0)</f>
        <v>0</v>
      </c>
      <c r="AU192" s="95">
        <f>IF(ISTEXT(K192),IF(ISNUMBER(O192),O192*M192*Z192/1000*Balance!$H$13/Q192,0),AT192)</f>
        <v>0</v>
      </c>
      <c r="AV192" s="95">
        <f>IF(ISTEXT(R192),IF(ISNUMBER(V192),V192*T192*Z192/1000*Balance!$H$13/X192,0),AT192)</f>
        <v>0</v>
      </c>
      <c r="AW192" s="66"/>
      <c r="AX192" s="95">
        <f>AT192*AX185</f>
        <v>0</v>
      </c>
      <c r="AY192" s="95">
        <f>AU192*AY185</f>
        <v>0</v>
      </c>
      <c r="AZ192" s="95">
        <f>AV192*AZ185</f>
        <v>0</v>
      </c>
      <c r="BA192" s="95">
        <f t="shared" si="142"/>
        <v>0</v>
      </c>
      <c r="BB192" s="66"/>
      <c r="BC192" s="95">
        <f>IF(ISNUMBER(I192),I192*F192*Z192/1000*Balance!$H$13/J192,0)</f>
        <v>0</v>
      </c>
      <c r="BD192" s="95">
        <f>IF(ISTEXT(K192),IF(ISNUMBER(P192),P192*M192*Z192/1000*Balance!$H$13/Q192,0),BC192)</f>
        <v>0</v>
      </c>
      <c r="BE192" s="95">
        <f>IF(ISTEXT(R192),IF(ISNUMBER(W192),W192*T192*Z192/1000*Balance!$H$13/X192,0),BC192)</f>
        <v>0</v>
      </c>
      <c r="BF192" s="66"/>
      <c r="BG192" s="95">
        <f>BC192*BG185</f>
        <v>0</v>
      </c>
      <c r="BH192" s="95">
        <f>BD192*BH185</f>
        <v>0</v>
      </c>
      <c r="BI192" s="95">
        <f>BE192*BI185</f>
        <v>0</v>
      </c>
      <c r="BJ192" s="95">
        <f t="shared" si="143"/>
        <v>0</v>
      </c>
      <c r="BK192" s="66"/>
      <c r="BL192" s="66"/>
      <c r="BM192" s="66"/>
    </row>
    <row r="193" spans="1:65" outlineLevel="1" x14ac:dyDescent="0.25">
      <c r="A193" s="61"/>
      <c r="B193" s="272"/>
      <c r="C193" s="91"/>
      <c r="D193" s="418"/>
      <c r="E193" s="419"/>
      <c r="F193" s="94"/>
      <c r="G193" s="136" t="str">
        <f>IF(ISNUMBER(VLOOKUP(LEFT(D193,3),'Material editor'!$D$11:$H$110,'Material editor'!$E$8,0)),VLOOKUP(LEFT(D193,3),'Material editor'!$D$11:$H$110,'Material editor'!$E$8,0),"")</f>
        <v/>
      </c>
      <c r="H193" s="137" t="str">
        <f>IF(ISNUMBER(VLOOKUP(LEFT(D193,3),'Material editor'!$D$11:$H$110,'Material editor'!$F$8,0)),VLOOKUP(LEFT(D193,3),'Material editor'!$D$11:$H$110,'Material editor'!$F$8,0),"")</f>
        <v/>
      </c>
      <c r="I193" s="137" t="str">
        <f>IF(ISNUMBER(VLOOKUP(LEFT(D193,3),'Material editor'!$D$11:$H$110,'Material editor'!$G$8,0)),VLOOKUP(LEFT(D193,3),'Material editor'!$D$11:$H$110,'Material editor'!$G$8,0),"")</f>
        <v/>
      </c>
      <c r="J193" s="137" t="str">
        <f>IF(ISNUMBER(VLOOKUP(LEFT(D193,3),'Material editor'!$D$11:$H$110,'Material editor'!$H$8,0)),VLOOKUP(LEFT(D193,3),'Material editor'!$D$11:$H$110,'Material editor'!$H$8,0),"")</f>
        <v/>
      </c>
      <c r="K193" s="418"/>
      <c r="L193" s="407"/>
      <c r="M193" s="94"/>
      <c r="N193" s="136" t="str">
        <f>IF(ISNUMBER(VLOOKUP(LEFT(K193,3),'Material editor'!$D$11:$H$110,'Material editor'!$E$8,0)),VLOOKUP(LEFT(K193,3),'Material editor'!$D$11:$H$110,'Material editor'!$E$8,0),"")</f>
        <v/>
      </c>
      <c r="O193" s="137" t="str">
        <f>IF(ISNUMBER(VLOOKUP(LEFT(K193,3),'Material editor'!$D$11:$H$110,'Material editor'!$F$8,0)),VLOOKUP(LEFT(K193,3),'Material editor'!$D$11:$H$110,'Material editor'!$F$8,0),"")</f>
        <v/>
      </c>
      <c r="P193" s="137" t="str">
        <f>IF(ISNUMBER(VLOOKUP(LEFT(K193,3),'Material editor'!$D$11:$H$110,'Material editor'!$G$8,0)),VLOOKUP(LEFT(K193,3),'Material editor'!$D$11:$H$110,'Material editor'!$G$8,0),"")</f>
        <v/>
      </c>
      <c r="Q193" s="137" t="str">
        <f>IF(ISNUMBER(VLOOKUP(LEFT(K193,3),'Material editor'!$D$11:$H$110,'Material editor'!$H$8,0)),VLOOKUP(LEFT(K193,3),'Material editor'!$D$11:$H$110,'Material editor'!$H$8,0),"")</f>
        <v/>
      </c>
      <c r="R193" s="418"/>
      <c r="S193" s="407"/>
      <c r="T193" s="94"/>
      <c r="U193" s="136" t="str">
        <f>IF(ISNUMBER(VLOOKUP(LEFT(R193,3),'Material editor'!$D$11:$H$110,'Material editor'!$E$8,0)),VLOOKUP(LEFT(R193,3),'Material editor'!$D$11:$H$110,'Material editor'!$E$8,0),"")</f>
        <v/>
      </c>
      <c r="V193" s="137" t="str">
        <f>IF(ISNUMBER(VLOOKUP(LEFT(R193,3),'Material editor'!$D$11:$H$110,'Material editor'!$F$8,0)),VLOOKUP(LEFT(R193,3),'Material editor'!$D$11:$H$110,'Material editor'!$F$8,0),"")</f>
        <v/>
      </c>
      <c r="W193" s="137" t="str">
        <f>IF(ISNUMBER(VLOOKUP(LEFT(R193,3),'Material editor'!$D$11:$H$110,'Material editor'!$G$8,0)),VLOOKUP(LEFT(R193,3),'Material editor'!$D$11:$H$110,'Material editor'!$G$8,0),"")</f>
        <v/>
      </c>
      <c r="X193" s="137" t="str">
        <f>IF(ISNUMBER(VLOOKUP(LEFT(R193,3),'Material editor'!$D$11:$H$110,'Material editor'!$H$8,0)),VLOOKUP(LEFT(R193,3),'Material editor'!$D$11:$H$110,'Material editor'!$H$8,0),"")</f>
        <v/>
      </c>
      <c r="Y193" s="74"/>
      <c r="Z193" s="94"/>
      <c r="AA193" s="8"/>
      <c r="AB193" s="61"/>
      <c r="AC193" s="65"/>
      <c r="AD193" s="65"/>
      <c r="AE193" s="95">
        <f t="shared" si="134"/>
        <v>0</v>
      </c>
      <c r="AF193" s="95">
        <f t="shared" si="135"/>
        <v>0</v>
      </c>
      <c r="AG193" s="95">
        <f t="shared" si="136"/>
        <v>0</v>
      </c>
      <c r="AH193" s="65"/>
      <c r="AI193" s="95">
        <f t="shared" si="137"/>
        <v>0</v>
      </c>
      <c r="AJ193" s="95">
        <f t="shared" si="138"/>
        <v>0</v>
      </c>
      <c r="AK193" s="95">
        <f t="shared" si="139"/>
        <v>0</v>
      </c>
      <c r="AL193" s="65"/>
      <c r="AM193" s="96">
        <f t="shared" ref="AM193:AO193" si="148">AM192</f>
        <v>1</v>
      </c>
      <c r="AN193" s="96">
        <f t="shared" si="148"/>
        <v>0</v>
      </c>
      <c r="AO193" s="96">
        <f t="shared" si="148"/>
        <v>0</v>
      </c>
      <c r="AP193" s="65">
        <f t="shared" si="140"/>
        <v>0</v>
      </c>
      <c r="AQ193" s="65"/>
      <c r="AR193" s="65"/>
      <c r="AS193" s="66"/>
      <c r="AT193" s="95">
        <f>IF(ISNUMBER(H193),H193*F193*Z193/1000*Balance!$H$13/J193,0)</f>
        <v>0</v>
      </c>
      <c r="AU193" s="95">
        <f>IF(ISTEXT(K193),IF(ISNUMBER(O193),O193*M193*Z193/1000*Balance!$H$13/Q193,0),AT193)</f>
        <v>0</v>
      </c>
      <c r="AV193" s="95">
        <f>IF(ISTEXT(R193),IF(ISNUMBER(V193),V193*T193*Z193/1000*Balance!$H$13/X193,0),AT193)</f>
        <v>0</v>
      </c>
      <c r="AW193" s="66"/>
      <c r="AX193" s="95">
        <f>AT193*AX185</f>
        <v>0</v>
      </c>
      <c r="AY193" s="95">
        <f>AU193*AY185</f>
        <v>0</v>
      </c>
      <c r="AZ193" s="95">
        <f>AV193*AZ185</f>
        <v>0</v>
      </c>
      <c r="BA193" s="95">
        <f t="shared" si="142"/>
        <v>0</v>
      </c>
      <c r="BB193" s="66"/>
      <c r="BC193" s="95">
        <f>IF(ISNUMBER(I193),I193*F193*Z193/1000*Balance!$H$13/J193,0)</f>
        <v>0</v>
      </c>
      <c r="BD193" s="95">
        <f>IF(ISTEXT(K193),IF(ISNUMBER(P193),P193*M193*Z193/1000*Balance!$H$13/Q193,0),BC193)</f>
        <v>0</v>
      </c>
      <c r="BE193" s="95">
        <f>IF(ISTEXT(R193),IF(ISNUMBER(W193),W193*T193*Z193/1000*Balance!$H$13/X193,0),BC193)</f>
        <v>0</v>
      </c>
      <c r="BF193" s="66"/>
      <c r="BG193" s="95">
        <f>BC193*BG185</f>
        <v>0</v>
      </c>
      <c r="BH193" s="95">
        <f>BD193*BH185</f>
        <v>0</v>
      </c>
      <c r="BI193" s="95">
        <f>BE193*BI185</f>
        <v>0</v>
      </c>
      <c r="BJ193" s="95">
        <f t="shared" si="143"/>
        <v>0</v>
      </c>
      <c r="BK193" s="66"/>
      <c r="BL193" s="66"/>
      <c r="BM193" s="66"/>
    </row>
    <row r="194" spans="1:65" outlineLevel="1" x14ac:dyDescent="0.25">
      <c r="A194" s="61"/>
      <c r="B194" s="272"/>
      <c r="C194" s="91"/>
      <c r="D194" s="420"/>
      <c r="E194" s="421"/>
      <c r="F194" s="94"/>
      <c r="G194" s="136" t="str">
        <f>IF(ISNUMBER(VLOOKUP(LEFT(D194,3),'Material editor'!$D$11:$H$110,'Material editor'!$E$8,0)),VLOOKUP(LEFT(D194,3),'Material editor'!$D$11:$H$110,'Material editor'!$E$8,0),"")</f>
        <v/>
      </c>
      <c r="H194" s="137" t="str">
        <f>IF(ISNUMBER(VLOOKUP(LEFT(D194,3),'Material editor'!$D$11:$H$110,'Material editor'!$F$8,0)),VLOOKUP(LEFT(D194,3),'Material editor'!$D$11:$H$110,'Material editor'!$F$8,0),"")</f>
        <v/>
      </c>
      <c r="I194" s="137" t="str">
        <f>IF(ISNUMBER(VLOOKUP(LEFT(D194,3),'Material editor'!$D$11:$H$110,'Material editor'!$G$8,0)),VLOOKUP(LEFT(D194,3),'Material editor'!$D$11:$H$110,'Material editor'!$G$8,0),"")</f>
        <v/>
      </c>
      <c r="J194" s="137" t="str">
        <f>IF(ISNUMBER(VLOOKUP(LEFT(D194,3),'Material editor'!$D$11:$H$110,'Material editor'!$H$8,0)),VLOOKUP(LEFT(D194,3),'Material editor'!$D$11:$H$110,'Material editor'!$H$8,0),"")</f>
        <v/>
      </c>
      <c r="K194" s="418"/>
      <c r="L194" s="407"/>
      <c r="M194" s="94"/>
      <c r="N194" s="136" t="str">
        <f>IF(ISNUMBER(VLOOKUP(LEFT(K194,3),'Material editor'!$D$11:$H$110,'Material editor'!$E$8,0)),VLOOKUP(LEFT(K194,3),'Material editor'!$D$11:$H$110,'Material editor'!$E$8,0),"")</f>
        <v/>
      </c>
      <c r="O194" s="137" t="str">
        <f>IF(ISNUMBER(VLOOKUP(LEFT(K194,3),'Material editor'!$D$11:$H$110,'Material editor'!$F$8,0)),VLOOKUP(LEFT(K194,3),'Material editor'!$D$11:$H$110,'Material editor'!$F$8,0),"")</f>
        <v/>
      </c>
      <c r="P194" s="137" t="str">
        <f>IF(ISNUMBER(VLOOKUP(LEFT(K194,3),'Material editor'!$D$11:$H$110,'Material editor'!$G$8,0)),VLOOKUP(LEFT(K194,3),'Material editor'!$D$11:$H$110,'Material editor'!$G$8,0),"")</f>
        <v/>
      </c>
      <c r="Q194" s="137" t="str">
        <f>IF(ISNUMBER(VLOOKUP(LEFT(K194,3),'Material editor'!$D$11:$H$110,'Material editor'!$H$8,0)),VLOOKUP(LEFT(K194,3),'Material editor'!$D$11:$H$110,'Material editor'!$H$8,0),"")</f>
        <v/>
      </c>
      <c r="R194" s="418"/>
      <c r="S194" s="407"/>
      <c r="T194" s="94"/>
      <c r="U194" s="136" t="str">
        <f>IF(ISNUMBER(VLOOKUP(LEFT(R194,3),'Material editor'!$D$11:$H$110,'Material editor'!$E$8,0)),VLOOKUP(LEFT(R194,3),'Material editor'!$D$11:$H$110,'Material editor'!$E$8,0),"")</f>
        <v/>
      </c>
      <c r="V194" s="137" t="str">
        <f>IF(ISNUMBER(VLOOKUP(LEFT(R194,3),'Material editor'!$D$11:$H$110,'Material editor'!$F$8,0)),VLOOKUP(LEFT(R194,3),'Material editor'!$D$11:$H$110,'Material editor'!$F$8,0),"")</f>
        <v/>
      </c>
      <c r="W194" s="137" t="str">
        <f>IF(ISNUMBER(VLOOKUP(LEFT(R194,3),'Material editor'!$D$11:$H$110,'Material editor'!$G$8,0)),VLOOKUP(LEFT(R194,3),'Material editor'!$D$11:$H$110,'Material editor'!$G$8,0),"")</f>
        <v/>
      </c>
      <c r="X194" s="137" t="str">
        <f>IF(ISNUMBER(VLOOKUP(LEFT(R194,3),'Material editor'!$D$11:$H$110,'Material editor'!$H$8,0)),VLOOKUP(LEFT(R194,3),'Material editor'!$D$11:$H$110,'Material editor'!$H$8,0),"")</f>
        <v/>
      </c>
      <c r="Y194" s="74"/>
      <c r="Z194" s="94"/>
      <c r="AA194" s="8"/>
      <c r="AB194" s="61"/>
      <c r="AC194" s="65"/>
      <c r="AD194" s="65"/>
      <c r="AE194" s="95">
        <f t="shared" si="134"/>
        <v>0</v>
      </c>
      <c r="AF194" s="95">
        <f t="shared" si="135"/>
        <v>0</v>
      </c>
      <c r="AG194" s="95">
        <f t="shared" si="136"/>
        <v>0</v>
      </c>
      <c r="AH194" s="65"/>
      <c r="AI194" s="95">
        <f>IF(ISNUMBER(G194),G194,0)</f>
        <v>0</v>
      </c>
      <c r="AJ194" s="95">
        <f t="shared" si="138"/>
        <v>0</v>
      </c>
      <c r="AK194" s="95">
        <f t="shared" si="139"/>
        <v>0</v>
      </c>
      <c r="AL194" s="65"/>
      <c r="AM194" s="96">
        <f t="shared" ref="AM194:AO194" si="149">AM193</f>
        <v>1</v>
      </c>
      <c r="AN194" s="96">
        <f t="shared" si="149"/>
        <v>0</v>
      </c>
      <c r="AO194" s="96">
        <f t="shared" si="149"/>
        <v>0</v>
      </c>
      <c r="AP194" s="65">
        <f t="shared" si="140"/>
        <v>0</v>
      </c>
      <c r="AQ194" s="65"/>
      <c r="AR194" s="65"/>
      <c r="AS194" s="66"/>
      <c r="AT194" s="95">
        <f>IF(ISNUMBER(H194),H194*F194*Z194/1000*Balance!$H$13/J194,0)</f>
        <v>0</v>
      </c>
      <c r="AU194" s="95">
        <f>IF(ISTEXT(K194),IF(ISNUMBER(O194),O194*M194*Z194/1000*Balance!$H$13/Q194,0),AT194)</f>
        <v>0</v>
      </c>
      <c r="AV194" s="95">
        <f>IF(ISTEXT(R194),IF(ISNUMBER(V194),V194*T194*Z194/1000*Balance!$H$13/X194,0),AT194)</f>
        <v>0</v>
      </c>
      <c r="AW194" s="66"/>
      <c r="AX194" s="95">
        <f>AT194*AX185</f>
        <v>0</v>
      </c>
      <c r="AY194" s="95">
        <f>AU194*AY185</f>
        <v>0</v>
      </c>
      <c r="AZ194" s="95">
        <f>AV194*AZ185</f>
        <v>0</v>
      </c>
      <c r="BA194" s="95">
        <f t="shared" si="142"/>
        <v>0</v>
      </c>
      <c r="BB194" s="66"/>
      <c r="BC194" s="95">
        <f>IF(ISNUMBER(I194),I194*F194*Z194/1000*Balance!$H$13/J194,0)</f>
        <v>0</v>
      </c>
      <c r="BD194" s="95">
        <f>IF(ISTEXT(K194),IF(ISNUMBER(P194),P194*M194*Z194/1000*Balance!$H$13/Q194,0),BC194)</f>
        <v>0</v>
      </c>
      <c r="BE194" s="95">
        <f>IF(ISTEXT(R194),IF(ISNUMBER(W194),W194*T194*Z194/1000*Balance!$H$13/X194,0),BC194)</f>
        <v>0</v>
      </c>
      <c r="BF194" s="66"/>
      <c r="BG194" s="95">
        <f>BC194*BG185</f>
        <v>0</v>
      </c>
      <c r="BH194" s="95">
        <f>BD194*BH185</f>
        <v>0</v>
      </c>
      <c r="BI194" s="95">
        <f>BE194*BI185</f>
        <v>0</v>
      </c>
      <c r="BJ194" s="95">
        <f t="shared" si="143"/>
        <v>0</v>
      </c>
      <c r="BK194" s="66"/>
      <c r="BL194" s="66"/>
      <c r="BM194" s="66"/>
    </row>
    <row r="195" spans="1:65" outlineLevel="1" x14ac:dyDescent="0.25">
      <c r="A195" s="61"/>
      <c r="B195" s="272"/>
      <c r="C195" s="77"/>
      <c r="D195" s="125">
        <f>MAX(0,1-K195-R195)</f>
        <v>1</v>
      </c>
      <c r="E195" s="360" t="s">
        <v>141</v>
      </c>
      <c r="F195" s="126"/>
      <c r="H195" s="97"/>
      <c r="I195" s="97"/>
      <c r="J195" s="97"/>
      <c r="K195" s="100"/>
      <c r="L195" s="126" t="s">
        <v>138</v>
      </c>
      <c r="M195" s="126"/>
      <c r="R195" s="100"/>
      <c r="S195" s="126" t="s">
        <v>139</v>
      </c>
      <c r="T195" s="126"/>
      <c r="V195" s="67"/>
      <c r="Y195" s="74"/>
      <c r="Z195" s="5" t="s">
        <v>140</v>
      </c>
      <c r="AA195" s="8"/>
      <c r="AB195" s="61"/>
      <c r="AC195" s="98"/>
      <c r="AD195" s="98" t="s">
        <v>124</v>
      </c>
      <c r="AE195" s="99">
        <f>IF(ISNUMBER($G187),1/($D182+SUM(AE187:AE194)+$D183),0)</f>
        <v>0.14805936475482079</v>
      </c>
      <c r="AF195" s="99">
        <f>IF(ISNUMBER($G187),1/($D182+SUM(AF187:AF194)+$D183),0)</f>
        <v>0.14805936475482079</v>
      </c>
      <c r="AG195" s="99">
        <f>IF(ISNUMBER($G187),1/($D182+SUM(AG187:AG194)+$D183),0)</f>
        <v>0.14805936475482079</v>
      </c>
      <c r="AH195" s="65"/>
      <c r="AI195" s="65"/>
      <c r="AJ195" s="65"/>
      <c r="AK195" s="65"/>
      <c r="AL195" s="65"/>
      <c r="AM195" s="65"/>
      <c r="AN195" s="65"/>
      <c r="AO195" s="65"/>
      <c r="AP195" s="65"/>
      <c r="AQ195" s="65"/>
      <c r="AR195" s="65"/>
      <c r="AS195" s="66"/>
      <c r="AT195" s="66"/>
      <c r="AU195" s="66"/>
      <c r="AV195" s="66"/>
      <c r="AW195" s="66"/>
      <c r="AX195" s="66"/>
      <c r="AY195" s="66"/>
      <c r="AZ195" s="66"/>
      <c r="BA195" s="66"/>
      <c r="BB195" s="66"/>
      <c r="BC195" s="66"/>
      <c r="BD195" s="66"/>
      <c r="BE195" s="66"/>
      <c r="BF195" s="66"/>
      <c r="BG195" s="66"/>
      <c r="BH195" s="66"/>
      <c r="BI195" s="66"/>
      <c r="BJ195" s="66"/>
      <c r="BK195" s="66"/>
      <c r="BL195" s="66"/>
      <c r="BM195" s="66"/>
    </row>
    <row r="196" spans="1:65" outlineLevel="1" x14ac:dyDescent="0.25">
      <c r="A196" s="61"/>
      <c r="B196" s="272"/>
      <c r="C196" s="77"/>
      <c r="D196" s="41"/>
      <c r="E196" s="116" t="s">
        <v>150</v>
      </c>
      <c r="F196" s="116"/>
      <c r="H196" s="68"/>
      <c r="I196" s="68"/>
      <c r="J196" s="68"/>
      <c r="K196" s="157" t="str">
        <f>IF(AE202&lt;=0.1,"","Der Fehler der U-Wert-Berechnung liegt möglicherweise über 10 %. Wärmebrückenberechnung?")</f>
        <v/>
      </c>
      <c r="L196" s="68"/>
      <c r="M196" s="68"/>
      <c r="N196" s="68"/>
      <c r="R196" s="5"/>
      <c r="S196" s="5"/>
      <c r="T196" s="5"/>
      <c r="U196" s="68"/>
      <c r="V196" s="68"/>
      <c r="X196" s="68"/>
      <c r="Y196" s="5"/>
      <c r="Z196" s="189">
        <f>IF(ISNUMBER(Z187),SUM(Z187:Z195)/10,"")</f>
        <v>50</v>
      </c>
      <c r="AA196" s="10" t="s">
        <v>8</v>
      </c>
      <c r="AB196" s="61"/>
      <c r="AC196" s="98"/>
      <c r="AD196" s="98" t="s">
        <v>125</v>
      </c>
      <c r="AE196" s="101">
        <f>1-SUM(AF196:AG196)</f>
        <v>1</v>
      </c>
      <c r="AF196" s="102">
        <f>K195</f>
        <v>0</v>
      </c>
      <c r="AG196" s="102">
        <f>R195</f>
        <v>0</v>
      </c>
      <c r="AH196" s="98"/>
      <c r="AI196" s="65"/>
      <c r="AJ196" s="65"/>
      <c r="AK196" s="65"/>
      <c r="AL196" s="65"/>
      <c r="AM196" s="65"/>
      <c r="AN196" s="65"/>
      <c r="AO196" s="65"/>
      <c r="AP196" s="65"/>
      <c r="AQ196" s="65"/>
      <c r="AR196" s="65" t="s">
        <v>393</v>
      </c>
      <c r="AS196" s="148"/>
      <c r="AT196" s="175" t="s">
        <v>393</v>
      </c>
      <c r="AU196" s="65" t="s">
        <v>366</v>
      </c>
      <c r="AV196" s="65" t="s">
        <v>355</v>
      </c>
      <c r="AW196" s="66"/>
      <c r="AX196" s="65" t="s">
        <v>394</v>
      </c>
      <c r="AY196" s="65" t="s">
        <v>356</v>
      </c>
      <c r="AZ196" s="66"/>
      <c r="BA196" s="66"/>
      <c r="BB196" s="66"/>
      <c r="BC196" s="66"/>
      <c r="BD196" s="66"/>
      <c r="BE196" s="66"/>
      <c r="BF196" s="66"/>
      <c r="BG196" s="66"/>
      <c r="BH196" s="66"/>
      <c r="BI196" s="66"/>
      <c r="BJ196" s="66"/>
      <c r="BK196" s="66"/>
      <c r="BL196" s="66"/>
      <c r="BM196" s="66"/>
    </row>
    <row r="197" spans="1:65" outlineLevel="1" x14ac:dyDescent="0.25">
      <c r="A197" s="61"/>
      <c r="B197" s="272"/>
      <c r="C197" s="77"/>
      <c r="D197" s="68"/>
      <c r="E197" s="68"/>
      <c r="F197" s="68"/>
      <c r="G197" s="68"/>
      <c r="H197" s="68"/>
      <c r="I197" s="68"/>
      <c r="J197" s="68"/>
      <c r="K197" s="68"/>
      <c r="L197" s="68"/>
      <c r="M197" s="68"/>
      <c r="N197" s="68"/>
      <c r="O197" s="68"/>
      <c r="P197" s="68"/>
      <c r="Q197" s="68"/>
      <c r="R197" s="68"/>
      <c r="T197" s="68"/>
      <c r="U197" s="68"/>
      <c r="V197" s="68"/>
      <c r="W197" s="68"/>
      <c r="X197" s="68"/>
      <c r="Y197" s="5"/>
      <c r="Z197" s="67"/>
      <c r="AA197" s="8"/>
      <c r="AB197" s="61"/>
      <c r="AC197" s="101"/>
      <c r="AD197" s="101"/>
      <c r="AE197" s="99"/>
      <c r="AF197" s="99"/>
      <c r="AG197" s="99"/>
      <c r="AH197" s="65"/>
      <c r="AI197" s="65"/>
      <c r="AJ197" s="65"/>
      <c r="AK197" s="65"/>
      <c r="AL197" s="65"/>
      <c r="AM197" s="65"/>
      <c r="AN197" s="65"/>
      <c r="AO197" s="65"/>
      <c r="AP197" s="65"/>
      <c r="AQ197" s="65"/>
      <c r="AR197" s="65"/>
      <c r="AS197" s="65"/>
      <c r="AT197" s="101" t="s">
        <v>367</v>
      </c>
      <c r="AU197" s="176">
        <f>Z198*F182*Balance!$H$6</f>
        <v>11.696689815630842</v>
      </c>
      <c r="AV197" s="176">
        <f>AU197*Balance!$H$13</f>
        <v>233.93379631261683</v>
      </c>
      <c r="AW197" s="66"/>
      <c r="AX197" s="66"/>
      <c r="AY197" s="66"/>
      <c r="AZ197" s="66"/>
      <c r="BA197" s="101" t="s">
        <v>351</v>
      </c>
      <c r="BB197" s="66"/>
      <c r="BC197" s="66"/>
      <c r="BD197" s="66"/>
      <c r="BE197" s="66"/>
      <c r="BF197" s="66"/>
      <c r="BG197" s="66"/>
      <c r="BH197" s="66"/>
      <c r="BI197" s="66"/>
      <c r="BJ197" s="66"/>
      <c r="BK197" s="66"/>
      <c r="BL197" s="66"/>
      <c r="BM197" s="66"/>
    </row>
    <row r="198" spans="1:65" ht="18" outlineLevel="1" x14ac:dyDescent="0.35">
      <c r="A198" s="61"/>
      <c r="B198" s="272"/>
      <c r="C198" s="77"/>
      <c r="H198" s="68"/>
      <c r="I198" s="68"/>
      <c r="J198" s="67"/>
      <c r="K198" s="192" t="s">
        <v>397</v>
      </c>
      <c r="L198" s="67"/>
      <c r="M198" s="67"/>
      <c r="N198" s="67"/>
      <c r="O198" s="67"/>
      <c r="P198" s="67"/>
      <c r="Q198" s="67"/>
      <c r="R198" s="14" t="s">
        <v>398</v>
      </c>
      <c r="U198" s="68"/>
      <c r="V198" s="68"/>
      <c r="W198" s="68"/>
      <c r="X198" s="68"/>
      <c r="Y198" s="127" t="s">
        <v>154</v>
      </c>
      <c r="Z198" s="193">
        <f>IF(ISNUMBER(G187),IF(AE202&lt;0.1,1/AE198,1/(AP198*1.1))+D196,"")</f>
        <v>0.14805936475482079</v>
      </c>
      <c r="AA198" s="8" t="s">
        <v>10</v>
      </c>
      <c r="AB198" s="61"/>
      <c r="AC198" s="101"/>
      <c r="AD198" s="101" t="s">
        <v>126</v>
      </c>
      <c r="AE198" s="95">
        <f>IF(ISNUMBER(G187),AVERAGE(AG198,AP198),0)</f>
        <v>6.7540476190476166</v>
      </c>
      <c r="AF198" s="101" t="s">
        <v>127</v>
      </c>
      <c r="AG198" s="95">
        <f>IF(ISNUMBER(G187),1/SUMPRODUCT(AE196:AG196,AE195:AG195),0)</f>
        <v>6.7540476190476166</v>
      </c>
      <c r="AH198" s="65"/>
      <c r="AI198" s="65"/>
      <c r="AJ198" s="65"/>
      <c r="AK198" s="65"/>
      <c r="AL198" s="103"/>
      <c r="AM198" s="65"/>
      <c r="AN198" s="65"/>
      <c r="AO198" s="101" t="s">
        <v>128</v>
      </c>
      <c r="AP198" s="95">
        <f>$D182+SUM(AP187:AP194)+$D183</f>
        <v>6.7540476190476175</v>
      </c>
      <c r="AQ198" s="65"/>
      <c r="AR198" s="65"/>
      <c r="AS198" s="152" t="str">
        <f>Data!$D$4</f>
        <v>Heat pump</v>
      </c>
      <c r="AT198" s="177" t="s">
        <v>374</v>
      </c>
      <c r="AU198" s="179">
        <f>AU197/(Balance!$H$17*Balance!$H$18*Balance!$H$19)*Balance!$H$22</f>
        <v>7.7977932104205614</v>
      </c>
      <c r="AV198" s="176">
        <f>AU198*Balance!$H$13</f>
        <v>155.95586420841124</v>
      </c>
      <c r="AW198" s="66"/>
      <c r="AX198" s="186">
        <f ca="1">AU197/(Balance!$H$17*Balance!$H$18*Balance!$H$19)*Balance!$G$22/1000</f>
        <v>1.4729164953016616</v>
      </c>
      <c r="AY198" s="176">
        <f ca="1">AX198*Balance!$H$13</f>
        <v>29.458329906033232</v>
      </c>
      <c r="AZ198" s="101"/>
      <c r="BA198" s="95">
        <f>SUM(BA187:BA194)</f>
        <v>141.68255769591184</v>
      </c>
      <c r="BB198" s="66" t="s">
        <v>355</v>
      </c>
      <c r="BC198" s="66"/>
      <c r="BD198" s="66"/>
      <c r="BE198" s="66"/>
      <c r="BF198" s="66"/>
      <c r="BG198" s="66"/>
      <c r="BH198" s="66"/>
      <c r="BI198" s="101" t="s">
        <v>149</v>
      </c>
      <c r="BJ198" s="95">
        <f>SUM(BJ187:BJ194)</f>
        <v>-4.1238828044826175</v>
      </c>
      <c r="BK198" s="66" t="s">
        <v>357</v>
      </c>
      <c r="BL198" s="66"/>
      <c r="BM198" s="66"/>
    </row>
    <row r="199" spans="1:65" ht="15.75" outlineLevel="1" x14ac:dyDescent="0.25">
      <c r="A199" s="61"/>
      <c r="B199" s="272"/>
      <c r="C199" s="77"/>
      <c r="D199" s="155"/>
      <c r="E199" s="188" t="s">
        <v>395</v>
      </c>
      <c r="F199" s="116"/>
      <c r="H199" s="68"/>
      <c r="I199" s="68"/>
      <c r="J199" s="67"/>
      <c r="K199" s="190">
        <f>BA198</f>
        <v>141.68255769591184</v>
      </c>
      <c r="L199" s="128" t="s">
        <v>400</v>
      </c>
      <c r="M199" s="67"/>
      <c r="N199" s="67"/>
      <c r="O199" s="67"/>
      <c r="P199" s="67"/>
      <c r="Q199" s="67"/>
      <c r="R199" s="190">
        <f>BJ198</f>
        <v>-4.1238828044826175</v>
      </c>
      <c r="S199" s="128" t="s">
        <v>399</v>
      </c>
      <c r="U199" s="68"/>
      <c r="V199" s="68"/>
      <c r="W199" s="68"/>
      <c r="X199" s="68"/>
      <c r="Y199" s="67"/>
      <c r="Z199" s="67"/>
      <c r="AA199" s="8"/>
      <c r="AB199" s="61"/>
      <c r="AC199" s="101"/>
      <c r="AD199" s="101"/>
      <c r="AE199" s="154"/>
      <c r="AF199" s="101"/>
      <c r="AG199" s="154"/>
      <c r="AH199" s="65"/>
      <c r="AI199" s="65"/>
      <c r="AJ199" s="65"/>
      <c r="AK199" s="65"/>
      <c r="AL199" s="103"/>
      <c r="AM199" s="65"/>
      <c r="AN199" s="65"/>
      <c r="AO199" s="101"/>
      <c r="AP199" s="154"/>
      <c r="AQ199" s="65"/>
      <c r="AR199" s="65"/>
      <c r="AS199" s="152" t="str">
        <f>Data!$D$5</f>
        <v>Direct electric</v>
      </c>
      <c r="AT199" s="177" t="s">
        <v>374</v>
      </c>
      <c r="AU199" s="179">
        <f>AU197/Balance!$H$18*Balance!$H$22</f>
        <v>21.054041668135515</v>
      </c>
      <c r="AV199" s="176">
        <f>AU199*Balance!$H$13</f>
        <v>421.08083336271028</v>
      </c>
      <c r="AW199" s="66"/>
      <c r="AX199" s="186">
        <f ca="1">AU197/Balance!$H$18*Balance!$G$22/1000</f>
        <v>3.9768745373144863</v>
      </c>
      <c r="AY199" s="176">
        <f ca="1">AX199*Balance!$H$13</f>
        <v>79.53749074628972</v>
      </c>
      <c r="AZ199" s="101"/>
      <c r="BA199" s="154"/>
      <c r="BB199" s="66"/>
      <c r="BC199" s="66"/>
      <c r="BD199" s="66"/>
      <c r="BE199" s="66"/>
      <c r="BF199" s="66"/>
      <c r="BG199" s="66"/>
      <c r="BH199" s="66"/>
      <c r="BI199" s="101"/>
      <c r="BJ199" s="154"/>
      <c r="BK199" s="66"/>
      <c r="BL199" s="66"/>
      <c r="BM199" s="66"/>
    </row>
    <row r="200" spans="1:65" ht="15.75" outlineLevel="1" x14ac:dyDescent="0.25">
      <c r="A200" s="61"/>
      <c r="B200" s="272"/>
      <c r="C200" s="77"/>
      <c r="D200" s="155"/>
      <c r="E200" s="188" t="s">
        <v>396</v>
      </c>
      <c r="F200" s="116"/>
      <c r="H200" s="68"/>
      <c r="I200" s="68"/>
      <c r="J200" s="67"/>
      <c r="K200" s="190">
        <f>AV202</f>
        <v>155.95586420841124</v>
      </c>
      <c r="L200" s="128" t="s">
        <v>401</v>
      </c>
      <c r="M200" s="67"/>
      <c r="N200" s="67"/>
      <c r="O200" s="67"/>
      <c r="P200" s="67"/>
      <c r="Q200" s="67"/>
      <c r="R200" s="190">
        <f ca="1">AY202</f>
        <v>29.458329906033232</v>
      </c>
      <c r="S200" s="128" t="s">
        <v>358</v>
      </c>
      <c r="U200" s="68"/>
      <c r="V200" s="68"/>
      <c r="W200" s="68"/>
      <c r="X200" s="68"/>
      <c r="Y200" s="67"/>
      <c r="Z200" s="67"/>
      <c r="AA200" s="8"/>
      <c r="AB200" s="61"/>
      <c r="AC200" s="101"/>
      <c r="AD200" s="101"/>
      <c r="AE200" s="154"/>
      <c r="AF200" s="101"/>
      <c r="AG200" s="154"/>
      <c r="AH200" s="65"/>
      <c r="AI200" s="65"/>
      <c r="AJ200" s="65"/>
      <c r="AK200" s="65"/>
      <c r="AL200" s="103"/>
      <c r="AM200" s="65"/>
      <c r="AN200" s="65"/>
      <c r="AO200" s="101"/>
      <c r="AP200" s="154"/>
      <c r="AQ200" s="65"/>
      <c r="AR200" s="65"/>
      <c r="AS200" s="152" t="str">
        <f>Data!$D$6</f>
        <v>Gas boiler</v>
      </c>
      <c r="AT200" s="177" t="s">
        <v>374</v>
      </c>
      <c r="AU200" s="179">
        <f>AU197/(Balance!$H$18*Balance!$H$19)*Balance!H$23</f>
        <v>22.743563530393303</v>
      </c>
      <c r="AV200" s="176">
        <f>AU200*Balance!$H$13</f>
        <v>454.87127060786605</v>
      </c>
      <c r="AW200" s="66"/>
      <c r="AX200" s="186">
        <f ca="1">AU197/(Balance!$H$18*Balance!$H$19)*Balance!$G$23/1000</f>
        <v>3.2413445983791802</v>
      </c>
      <c r="AY200" s="176">
        <f ca="1">AX200*Balance!$H$13</f>
        <v>64.826891967583606</v>
      </c>
      <c r="AZ200" s="101"/>
      <c r="BA200" s="154"/>
      <c r="BB200" s="66"/>
      <c r="BC200" s="66"/>
      <c r="BD200" s="66"/>
      <c r="BE200" s="66"/>
      <c r="BF200" s="66"/>
      <c r="BG200" s="66"/>
      <c r="BH200" s="66"/>
      <c r="BI200" s="101"/>
      <c r="BJ200" s="154"/>
      <c r="BK200" s="66"/>
      <c r="BL200" s="66"/>
      <c r="BM200" s="66"/>
    </row>
    <row r="201" spans="1:65" ht="15.75" outlineLevel="1" x14ac:dyDescent="0.25">
      <c r="A201" s="61"/>
      <c r="B201" s="272"/>
      <c r="C201" s="77"/>
      <c r="D201" s="155"/>
      <c r="E201" s="188" t="s">
        <v>352</v>
      </c>
      <c r="F201" s="116"/>
      <c r="H201" s="68"/>
      <c r="I201" s="68"/>
      <c r="J201" s="67"/>
      <c r="K201" s="191">
        <f>K200+K199</f>
        <v>297.63842190432308</v>
      </c>
      <c r="L201" s="128" t="s">
        <v>355</v>
      </c>
      <c r="M201" s="67"/>
      <c r="N201" s="67"/>
      <c r="O201" s="67"/>
      <c r="P201" s="67"/>
      <c r="Q201" s="67"/>
      <c r="R201" s="191">
        <f ca="1">R200+R199</f>
        <v>25.334447101550616</v>
      </c>
      <c r="S201" s="128" t="s">
        <v>358</v>
      </c>
      <c r="T201" s="153"/>
      <c r="U201" s="68"/>
      <c r="V201" s="68"/>
      <c r="W201" s="68"/>
      <c r="X201" s="68"/>
      <c r="Y201" s="67"/>
      <c r="Z201" s="67"/>
      <c r="AA201" s="8"/>
      <c r="AB201" s="61"/>
      <c r="AC201" s="101"/>
      <c r="AD201" s="101"/>
      <c r="AE201" s="154"/>
      <c r="AF201" s="101"/>
      <c r="AG201" s="154"/>
      <c r="AH201" s="65"/>
      <c r="AI201" s="65"/>
      <c r="AJ201" s="65"/>
      <c r="AK201" s="65"/>
      <c r="AL201" s="103"/>
      <c r="AM201" s="65"/>
      <c r="AN201" s="65"/>
      <c r="AO201" s="101"/>
      <c r="AP201" s="154"/>
      <c r="AQ201" s="65"/>
      <c r="AR201" s="65"/>
      <c r="AS201" s="152" t="str">
        <f>Data!$D$7</f>
        <v>Biomass</v>
      </c>
      <c r="AT201" s="177" t="s">
        <v>374</v>
      </c>
      <c r="AU201" s="179">
        <f>AU197/(Balance!$H$18*Balance!$H$19)*Balance!$H$24</f>
        <v>14.295954219104363</v>
      </c>
      <c r="AV201" s="176">
        <f>AU201*Balance!$H$13</f>
        <v>285.91908438208725</v>
      </c>
      <c r="AW201" s="66"/>
      <c r="AX201" s="186">
        <f ca="1">AU197/(Balance!$H$18*Balance!$H$19)*Balance!$G$24/1000</f>
        <v>0.27617184286906155</v>
      </c>
      <c r="AY201" s="176">
        <f ca="1">AX201*Balance!$H$13</f>
        <v>5.5234368573812311</v>
      </c>
      <c r="AZ201" s="101"/>
      <c r="BA201" s="154"/>
      <c r="BB201" s="66"/>
      <c r="BC201" s="66"/>
      <c r="BD201" s="66"/>
      <c r="BE201" s="66"/>
      <c r="BF201" s="66"/>
      <c r="BG201" s="66"/>
      <c r="BH201" s="66"/>
      <c r="BI201" s="101"/>
      <c r="BJ201" s="154"/>
      <c r="BK201" s="66"/>
      <c r="BL201" s="66"/>
      <c r="BM201" s="66"/>
    </row>
    <row r="202" spans="1:65" outlineLevel="1" x14ac:dyDescent="0.25">
      <c r="A202" s="61"/>
      <c r="B202" s="272"/>
      <c r="C202" s="104"/>
      <c r="D202" s="105"/>
      <c r="E202" s="106"/>
      <c r="F202" s="106"/>
      <c r="G202" s="106"/>
      <c r="H202" s="107"/>
      <c r="I202" s="107"/>
      <c r="J202" s="107"/>
      <c r="K202" s="106"/>
      <c r="L202" s="106"/>
      <c r="M202" s="106"/>
      <c r="N202" s="106"/>
      <c r="O202" s="106"/>
      <c r="P202" s="106"/>
      <c r="Q202" s="106"/>
      <c r="R202" s="106"/>
      <c r="S202" s="106"/>
      <c r="T202" s="106"/>
      <c r="U202" s="106"/>
      <c r="V202" s="106"/>
      <c r="W202" s="106"/>
      <c r="X202" s="106"/>
      <c r="Y202" s="106"/>
      <c r="Z202" s="108"/>
      <c r="AA202" s="109"/>
      <c r="AB202" s="61"/>
      <c r="AC202" s="101"/>
      <c r="AD202" s="101" t="s">
        <v>129</v>
      </c>
      <c r="AE202" s="110">
        <f>IF(ISNUMBER(G187),(AG198-AP198)/(2*AE198),0)</f>
        <v>-6.5751566304870574E-17</v>
      </c>
      <c r="AF202" s="111"/>
      <c r="AG202" s="65"/>
      <c r="AH202" s="101"/>
      <c r="AI202" s="65"/>
      <c r="AJ202" s="65"/>
      <c r="AK202" s="65"/>
      <c r="AL202" s="65"/>
      <c r="AM202" s="65"/>
      <c r="AN202" s="65"/>
      <c r="AO202" s="65"/>
      <c r="AP202" s="66"/>
      <c r="AQ202" s="65"/>
      <c r="AR202" s="65"/>
      <c r="AS202" s="178" t="str">
        <f>Balance!$G$16</f>
        <v>Heat pump</v>
      </c>
      <c r="AT202" s="66"/>
      <c r="AU202" s="185">
        <f>VLOOKUP(AS202,AS198:AU201,3,0)</f>
        <v>7.7977932104205614</v>
      </c>
      <c r="AV202" s="185">
        <f>VLOOKUP(AS202,AS198:AV201,4,0)</f>
        <v>155.95586420841124</v>
      </c>
      <c r="AW202" s="185"/>
      <c r="AX202" s="187">
        <f ca="1">VLOOKUP(AS202,AS198:AX201,6,0)</f>
        <v>1.4729164953016616</v>
      </c>
      <c r="AY202" s="185">
        <f ca="1">VLOOKUP(AS202,AS198:AY201,7,0)</f>
        <v>29.458329906033232</v>
      </c>
      <c r="AZ202" s="66"/>
      <c r="BA202" s="66"/>
      <c r="BB202" s="66"/>
      <c r="BC202" s="66"/>
      <c r="BD202" s="66"/>
      <c r="BE202" s="66"/>
      <c r="BF202" s="66"/>
      <c r="BG202" s="66"/>
      <c r="BH202" s="66"/>
      <c r="BI202" s="66"/>
      <c r="BJ202" s="66"/>
      <c r="BK202" s="66"/>
      <c r="BL202" s="66"/>
      <c r="BM202" s="66"/>
    </row>
    <row r="203" spans="1:65" outlineLevel="1" x14ac:dyDescent="0.25">
      <c r="B203" s="201"/>
    </row>
    <row r="204" spans="1:65" outlineLevel="1" x14ac:dyDescent="0.25">
      <c r="A204" s="61"/>
      <c r="B204" s="272"/>
      <c r="C204" s="62"/>
      <c r="D204" s="114" t="s">
        <v>131</v>
      </c>
      <c r="E204" s="115" t="s">
        <v>132</v>
      </c>
      <c r="F204" s="115"/>
      <c r="G204" s="63"/>
      <c r="H204" s="63"/>
      <c r="I204" s="63"/>
      <c r="J204" s="63"/>
      <c r="K204" s="63"/>
      <c r="L204" s="63"/>
      <c r="M204" s="63"/>
      <c r="N204" s="63"/>
      <c r="O204" s="63"/>
      <c r="P204" s="63"/>
      <c r="Q204" s="63"/>
      <c r="R204" s="63"/>
      <c r="S204" s="63"/>
      <c r="T204" s="63"/>
      <c r="U204" s="63"/>
      <c r="V204" s="63"/>
      <c r="W204" s="63"/>
      <c r="X204" s="63"/>
      <c r="Y204" s="63"/>
      <c r="Z204" s="63"/>
      <c r="AA204" s="64"/>
      <c r="AB204" s="61"/>
      <c r="AC204" s="65" t="s">
        <v>402</v>
      </c>
      <c r="AD204" s="65"/>
      <c r="AE204" s="65"/>
      <c r="AF204" s="65"/>
      <c r="AG204" s="65"/>
      <c r="AH204" s="65"/>
      <c r="AI204" s="65"/>
      <c r="AJ204" s="65"/>
      <c r="AK204" s="65"/>
      <c r="AL204" s="65"/>
      <c r="AM204" s="65"/>
      <c r="AN204" s="65"/>
      <c r="AO204" s="65"/>
      <c r="AP204" s="65"/>
      <c r="AQ204" s="66"/>
      <c r="AR204" s="65" t="s">
        <v>405</v>
      </c>
      <c r="AS204" s="65"/>
      <c r="AT204" s="65"/>
      <c r="AU204" s="65"/>
      <c r="AV204" s="65"/>
      <c r="AW204" s="65"/>
      <c r="AX204" s="65"/>
      <c r="AY204" s="65"/>
      <c r="AZ204" s="65"/>
      <c r="BA204" s="65"/>
      <c r="BB204" s="65" t="s">
        <v>403</v>
      </c>
      <c r="BC204" s="65"/>
      <c r="BD204" s="65"/>
      <c r="BE204" s="65"/>
      <c r="BF204" s="65"/>
      <c r="BG204" s="65"/>
      <c r="BH204" s="65"/>
      <c r="BI204" s="65"/>
      <c r="BJ204" s="65"/>
      <c r="BK204" s="65"/>
      <c r="BL204" s="65"/>
      <c r="BM204" s="65"/>
    </row>
    <row r="205" spans="1:65" ht="15.75" x14ac:dyDescent="0.25">
      <c r="A205" s="61"/>
      <c r="B205" s="272"/>
      <c r="C205" s="69"/>
      <c r="D205" s="70">
        <v>8</v>
      </c>
      <c r="E205" s="71" t="s">
        <v>979</v>
      </c>
      <c r="F205" s="92"/>
      <c r="G205" s="72"/>
      <c r="H205" s="72"/>
      <c r="I205" s="72"/>
      <c r="J205" s="72"/>
      <c r="K205" s="72"/>
      <c r="L205" s="72"/>
      <c r="M205" s="72"/>
      <c r="N205" s="72"/>
      <c r="O205" s="72"/>
      <c r="P205" s="72"/>
      <c r="Q205" s="72"/>
      <c r="R205" s="72"/>
      <c r="S205" s="72"/>
      <c r="T205" s="72"/>
      <c r="U205" s="72"/>
      <c r="V205" s="72"/>
      <c r="W205" s="72"/>
      <c r="X205" s="72"/>
      <c r="Y205" s="72"/>
      <c r="Z205" s="73"/>
      <c r="AA205" s="75"/>
      <c r="AB205" s="61"/>
      <c r="AC205" s="65"/>
      <c r="AD205" s="65"/>
      <c r="AE205" s="76" t="s">
        <v>114</v>
      </c>
      <c r="AF205" s="65"/>
      <c r="AG205" s="65"/>
      <c r="AH205" s="65"/>
      <c r="AI205" s="65"/>
      <c r="AJ205" s="65"/>
      <c r="AK205" s="65"/>
      <c r="AL205" s="65"/>
      <c r="AM205" s="65"/>
      <c r="AN205" s="65"/>
      <c r="AO205" s="65"/>
      <c r="AP205" s="66"/>
      <c r="AQ205" s="65"/>
      <c r="AR205" s="65" t="s">
        <v>404</v>
      </c>
      <c r="AS205" s="65"/>
      <c r="AT205" s="65"/>
      <c r="AU205" s="65"/>
      <c r="AV205" s="65"/>
      <c r="AW205" s="65"/>
      <c r="AX205" s="65"/>
      <c r="AY205" s="65"/>
      <c r="AZ205" s="65"/>
      <c r="BA205" s="65"/>
      <c r="BB205" s="65" t="s">
        <v>407</v>
      </c>
      <c r="BC205" s="65"/>
      <c r="BD205" s="65"/>
      <c r="BE205" s="65"/>
      <c r="BF205" s="65"/>
      <c r="BG205" s="65"/>
      <c r="BH205" s="65"/>
      <c r="BI205" s="65"/>
      <c r="BJ205" s="65"/>
      <c r="BK205" s="65"/>
      <c r="BL205" s="65"/>
      <c r="BM205" s="65"/>
    </row>
    <row r="206" spans="1:65" outlineLevel="1" x14ac:dyDescent="0.25">
      <c r="A206" s="61"/>
      <c r="B206" s="272"/>
      <c r="C206" s="77"/>
      <c r="D206" s="116" t="s">
        <v>133</v>
      </c>
      <c r="E206" s="78"/>
      <c r="F206" s="78"/>
      <c r="AA206" s="75"/>
      <c r="AB206" s="61"/>
      <c r="AC206" s="65"/>
      <c r="AD206" s="65"/>
      <c r="AE206" s="65"/>
      <c r="AF206" s="65"/>
      <c r="AG206" s="65"/>
      <c r="AH206" s="65"/>
      <c r="AI206" s="65"/>
      <c r="AJ206" s="65"/>
      <c r="AK206" s="65"/>
      <c r="AL206" s="65"/>
      <c r="AM206" s="65"/>
      <c r="AN206" s="65"/>
      <c r="AO206" s="65"/>
      <c r="AP206" s="66"/>
      <c r="AQ206" s="65"/>
      <c r="AR206" s="65"/>
      <c r="AS206" s="65"/>
      <c r="AT206" s="65"/>
      <c r="AU206" s="65"/>
      <c r="AV206" s="65"/>
      <c r="AW206" s="65"/>
      <c r="AX206" s="65"/>
      <c r="AY206" s="65"/>
      <c r="AZ206" s="65"/>
      <c r="BA206" s="65"/>
      <c r="BB206" s="65"/>
      <c r="BC206" s="65"/>
      <c r="BD206" s="65"/>
      <c r="BE206" s="65"/>
      <c r="BF206" s="65"/>
      <c r="BG206" s="65"/>
      <c r="BH206" s="65"/>
      <c r="BI206" s="65"/>
      <c r="BJ206" s="65"/>
      <c r="BK206" s="65"/>
      <c r="BL206" s="65"/>
      <c r="BM206" s="65"/>
    </row>
    <row r="207" spans="1:65" outlineLevel="1" x14ac:dyDescent="0.25">
      <c r="A207" s="61"/>
      <c r="B207" s="272"/>
      <c r="C207" s="77"/>
      <c r="D207" s="79">
        <v>0.13</v>
      </c>
      <c r="E207" s="2" t="s">
        <v>151</v>
      </c>
      <c r="F207" s="138">
        <v>1</v>
      </c>
      <c r="G207" s="61"/>
      <c r="H207" s="74"/>
      <c r="I207" s="74"/>
      <c r="J207" s="74"/>
      <c r="K207" s="2" t="s">
        <v>921</v>
      </c>
      <c r="L207" s="74"/>
      <c r="M207" s="74"/>
      <c r="N207" s="74"/>
      <c r="AA207" s="75"/>
      <c r="AB207" s="61"/>
      <c r="AC207" s="65"/>
      <c r="AD207" s="65"/>
      <c r="AE207" s="65" t="s">
        <v>115</v>
      </c>
      <c r="AF207" s="65"/>
      <c r="AG207" s="65"/>
      <c r="AH207" s="65"/>
      <c r="AI207" s="65" t="s">
        <v>116</v>
      </c>
      <c r="AJ207" s="65"/>
      <c r="AK207" s="65"/>
      <c r="AL207" s="65"/>
      <c r="AM207" s="65"/>
      <c r="AN207" s="65"/>
      <c r="AO207" s="65"/>
      <c r="AP207" s="66"/>
      <c r="AQ207" s="65"/>
      <c r="AR207" s="65"/>
      <c r="AS207" s="65"/>
      <c r="AT207" s="65"/>
      <c r="AU207" s="65"/>
      <c r="AV207" s="65"/>
      <c r="AW207" s="65"/>
      <c r="AX207" s="65"/>
      <c r="AY207" s="65"/>
      <c r="AZ207" s="65"/>
      <c r="BA207" s="65"/>
      <c r="BB207" s="65"/>
      <c r="BC207" s="65"/>
      <c r="BD207" s="65"/>
      <c r="BE207" s="65"/>
      <c r="BF207" s="65"/>
      <c r="BG207" s="65"/>
      <c r="BH207" s="65"/>
      <c r="BI207" s="65"/>
      <c r="BJ207" s="65"/>
      <c r="BK207" s="65"/>
      <c r="BL207" s="65"/>
      <c r="BM207" s="65"/>
    </row>
    <row r="208" spans="1:65" ht="15.75" outlineLevel="1" x14ac:dyDescent="0.25">
      <c r="A208" s="61"/>
      <c r="B208" s="272"/>
      <c r="C208" s="77"/>
      <c r="D208" s="79">
        <v>0.04</v>
      </c>
      <c r="E208" s="2" t="s">
        <v>152</v>
      </c>
      <c r="F208" s="2"/>
      <c r="G208" s="61"/>
      <c r="H208" s="74"/>
      <c r="I208" s="74"/>
      <c r="J208" s="74"/>
      <c r="K208" s="74"/>
      <c r="L208" s="74"/>
      <c r="M208" s="74"/>
      <c r="N208" s="74"/>
      <c r="AA208" s="75"/>
      <c r="AB208" s="61"/>
      <c r="AC208" s="65"/>
      <c r="AD208" s="65"/>
      <c r="AE208" s="80" t="s">
        <v>117</v>
      </c>
      <c r="AF208" s="81"/>
      <c r="AG208" s="81"/>
      <c r="AH208" s="65"/>
      <c r="AI208" s="82" t="s">
        <v>118</v>
      </c>
      <c r="AJ208" s="81"/>
      <c r="AK208" s="81"/>
      <c r="AL208" s="65"/>
      <c r="AM208" s="83" t="s">
        <v>119</v>
      </c>
      <c r="AN208" s="84"/>
      <c r="AO208" s="85"/>
      <c r="AP208" s="65"/>
      <c r="AQ208" s="65"/>
      <c r="AR208" s="65"/>
      <c r="AS208" s="65"/>
      <c r="AT208" s="65"/>
      <c r="AU208" s="65"/>
      <c r="AV208" s="65"/>
      <c r="AW208" s="65"/>
      <c r="AX208" s="65"/>
      <c r="AY208" s="65"/>
      <c r="AZ208" s="65"/>
      <c r="BA208" s="65"/>
      <c r="BB208" s="65"/>
      <c r="BC208" s="65"/>
      <c r="BD208" s="65"/>
      <c r="BE208" s="65"/>
      <c r="BF208" s="65"/>
      <c r="BG208" s="65"/>
      <c r="BH208" s="65"/>
      <c r="BI208" s="65"/>
      <c r="BJ208" s="65"/>
      <c r="BK208" s="65"/>
      <c r="BL208" s="65"/>
      <c r="BM208" s="65"/>
    </row>
    <row r="209" spans="1:65" ht="15.75" outlineLevel="1" x14ac:dyDescent="0.25">
      <c r="A209" s="61"/>
      <c r="B209" s="272"/>
      <c r="C209" s="77"/>
      <c r="D209" s="74"/>
      <c r="E209" s="61"/>
      <c r="F209" s="61"/>
      <c r="G209" s="61"/>
      <c r="H209" s="74"/>
      <c r="I209" s="74"/>
      <c r="J209" s="74"/>
      <c r="K209" s="74"/>
      <c r="L209" s="74"/>
      <c r="M209" s="74"/>
      <c r="N209" s="74"/>
      <c r="O209" s="1"/>
      <c r="P209" s="1"/>
      <c r="Q209" s="1"/>
      <c r="AA209" s="75"/>
      <c r="AB209" s="61"/>
      <c r="AC209" s="65"/>
      <c r="AD209" s="65"/>
      <c r="AE209" s="117"/>
      <c r="AF209" s="117"/>
      <c r="AG209" s="117"/>
      <c r="AH209" s="65"/>
      <c r="AI209" s="118"/>
      <c r="AJ209" s="117"/>
      <c r="AK209" s="117"/>
      <c r="AL209" s="65"/>
      <c r="AM209" s="119"/>
      <c r="AN209" s="119"/>
      <c r="AO209" s="119"/>
      <c r="AP209" s="65"/>
      <c r="AQ209" s="65"/>
      <c r="AR209" s="65"/>
      <c r="AS209" s="65"/>
      <c r="AT209" s="148" t="s">
        <v>351</v>
      </c>
      <c r="AU209" s="65"/>
      <c r="AV209" s="65"/>
      <c r="AW209" s="65"/>
      <c r="AX209" s="148"/>
      <c r="AY209" s="65"/>
      <c r="AZ209" s="65"/>
      <c r="BA209" s="65"/>
      <c r="BB209" s="65"/>
      <c r="BC209" s="148" t="s">
        <v>406</v>
      </c>
      <c r="BD209" s="65"/>
      <c r="BE209" s="65"/>
      <c r="BF209" s="65"/>
      <c r="BG209" s="148"/>
      <c r="BH209" s="65"/>
      <c r="BI209" s="65"/>
      <c r="BJ209" s="65"/>
      <c r="BK209" s="65"/>
      <c r="BL209" s="65"/>
      <c r="BM209" s="65"/>
    </row>
    <row r="210" spans="1:65" ht="22.5" outlineLevel="1" x14ac:dyDescent="0.25">
      <c r="A210" s="61"/>
      <c r="B210" s="272"/>
      <c r="C210" s="77"/>
      <c r="D210" s="121" t="str">
        <f>$D$35</f>
        <v>Area section 1</v>
      </c>
      <c r="E210" s="61"/>
      <c r="F210" s="122" t="str">
        <f>$F$35</f>
        <v>Count?</v>
      </c>
      <c r="G210" s="122" t="str">
        <f>$G$35</f>
        <v>Thermal conductivity</v>
      </c>
      <c r="H210" s="122" t="str">
        <f>$H$35</f>
        <v>Manfacturing energy</v>
      </c>
      <c r="I210" s="122" t="str">
        <f>$I$35</f>
        <v>GWP</v>
      </c>
      <c r="J210" s="122" t="str">
        <f>$J$35</f>
        <v>Service life</v>
      </c>
      <c r="K210" s="121" t="str">
        <f>$K$35</f>
        <v>Area section 2 (optional)</v>
      </c>
      <c r="L210" s="121"/>
      <c r="M210" s="122" t="str">
        <f>$M$35</f>
        <v>Count?</v>
      </c>
      <c r="N210" s="122" t="str">
        <f>$N$35</f>
        <v>Thermal conductivity</v>
      </c>
      <c r="O210" s="122" t="str">
        <f>$O$35</f>
        <v>Manfacturing energy</v>
      </c>
      <c r="P210" s="122" t="str">
        <f>$P$35</f>
        <v>GWP</v>
      </c>
      <c r="Q210" s="122" t="str">
        <f>$Q$35</f>
        <v>Service life</v>
      </c>
      <c r="R210" s="121" t="str">
        <f>$R$35</f>
        <v>Area section 3 (optional)</v>
      </c>
      <c r="S210" s="74"/>
      <c r="T210" s="122" t="str">
        <f>$T$35</f>
        <v>Count?</v>
      </c>
      <c r="U210" s="122" t="str">
        <f>$U$35</f>
        <v>Thermal conductivity</v>
      </c>
      <c r="V210" s="122" t="str">
        <f>$V$35</f>
        <v>Manfacturing energy</v>
      </c>
      <c r="W210" s="122" t="str">
        <f>$W$35</f>
        <v>GWP</v>
      </c>
      <c r="X210" s="122" t="str">
        <f>$X$35</f>
        <v>Service life</v>
      </c>
      <c r="Y210" s="74"/>
      <c r="Z210" s="122" t="str">
        <f>$Z$35</f>
        <v>Thickness</v>
      </c>
      <c r="AA210" s="75"/>
      <c r="AB210" s="61"/>
      <c r="AC210" s="65"/>
      <c r="AD210" s="65"/>
      <c r="AE210" s="86"/>
      <c r="AF210" s="87"/>
      <c r="AG210" s="65"/>
      <c r="AH210" s="65"/>
      <c r="AI210" s="65"/>
      <c r="AJ210" s="65"/>
      <c r="AK210" s="65"/>
      <c r="AL210" s="65"/>
      <c r="AM210" s="65"/>
      <c r="AN210" s="65"/>
      <c r="AO210" s="65"/>
      <c r="AP210" s="65"/>
      <c r="AQ210" s="65"/>
      <c r="AR210" s="65"/>
      <c r="AS210" s="65"/>
      <c r="AT210" s="148"/>
      <c r="AU210" s="65"/>
      <c r="AV210" s="65"/>
      <c r="AW210" s="151" t="s">
        <v>353</v>
      </c>
      <c r="AX210" s="149">
        <f>D220</f>
        <v>0.90400000000000003</v>
      </c>
      <c r="AY210" s="150">
        <f>K220</f>
        <v>9.6000000000000002E-2</v>
      </c>
      <c r="AZ210" s="150">
        <f>R220</f>
        <v>0</v>
      </c>
      <c r="BA210" s="156">
        <f>SUM(AX210:AZ210)</f>
        <v>1</v>
      </c>
      <c r="BB210" s="65"/>
      <c r="BC210" s="148"/>
      <c r="BD210" s="65"/>
      <c r="BE210" s="65"/>
      <c r="BF210" s="151" t="s">
        <v>353</v>
      </c>
      <c r="BG210" s="149">
        <f>AX210</f>
        <v>0.90400000000000003</v>
      </c>
      <c r="BH210" s="149">
        <f t="shared" ref="BH210" si="150">AY210</f>
        <v>9.6000000000000002E-2</v>
      </c>
      <c r="BI210" s="149">
        <f t="shared" ref="BI210" si="151">AZ210</f>
        <v>0</v>
      </c>
      <c r="BJ210" s="156">
        <f>SUM(BG210:BI210)</f>
        <v>1</v>
      </c>
      <c r="BK210" s="65"/>
      <c r="BL210" s="65"/>
      <c r="BM210" s="65"/>
    </row>
    <row r="211" spans="1:65" outlineLevel="1" x14ac:dyDescent="0.25">
      <c r="A211" s="61"/>
      <c r="B211" s="272"/>
      <c r="C211" s="77"/>
      <c r="E211" s="61"/>
      <c r="F211" s="120" t="s">
        <v>985</v>
      </c>
      <c r="G211" s="4" t="s">
        <v>135</v>
      </c>
      <c r="H211" s="120" t="s">
        <v>144</v>
      </c>
      <c r="I211" s="120" t="s">
        <v>148</v>
      </c>
      <c r="J211" s="120" t="s">
        <v>146</v>
      </c>
      <c r="K211" s="88"/>
      <c r="L211" s="88"/>
      <c r="M211" s="88"/>
      <c r="N211" s="4" t="s">
        <v>135</v>
      </c>
      <c r="O211" s="120" t="s">
        <v>144</v>
      </c>
      <c r="P211" s="120" t="s">
        <v>148</v>
      </c>
      <c r="Q211" s="120" t="s">
        <v>146</v>
      </c>
      <c r="R211" s="88"/>
      <c r="S211" s="88"/>
      <c r="T211" s="88"/>
      <c r="U211" s="4" t="s">
        <v>135</v>
      </c>
      <c r="V211" s="120" t="s">
        <v>144</v>
      </c>
      <c r="W211" s="120" t="s">
        <v>148</v>
      </c>
      <c r="X211" s="120" t="s">
        <v>146</v>
      </c>
      <c r="Y211" s="74"/>
      <c r="Z211" s="120" t="str">
        <f>$Z$36</f>
        <v>[mm]</v>
      </c>
      <c r="AA211" s="75"/>
      <c r="AB211" s="61"/>
      <c r="AC211" s="65"/>
      <c r="AD211" s="65"/>
      <c r="AE211" s="89" t="s">
        <v>120</v>
      </c>
      <c r="AF211" s="89" t="s">
        <v>121</v>
      </c>
      <c r="AG211" s="89" t="s">
        <v>122</v>
      </c>
      <c r="AH211" s="65"/>
      <c r="AI211" s="89" t="s">
        <v>120</v>
      </c>
      <c r="AJ211" s="89" t="s">
        <v>121</v>
      </c>
      <c r="AK211" s="89" t="s">
        <v>122</v>
      </c>
      <c r="AL211" s="90"/>
      <c r="AM211" s="89" t="s">
        <v>120</v>
      </c>
      <c r="AN211" s="89" t="s">
        <v>121</v>
      </c>
      <c r="AO211" s="89" t="s">
        <v>122</v>
      </c>
      <c r="AP211" s="90" t="s">
        <v>123</v>
      </c>
      <c r="AQ211" s="65"/>
      <c r="AR211" s="65"/>
      <c r="AS211" s="65"/>
      <c r="AT211" s="89" t="s">
        <v>120</v>
      </c>
      <c r="AU211" s="89" t="s">
        <v>121</v>
      </c>
      <c r="AV211" s="89" t="s">
        <v>122</v>
      </c>
      <c r="AW211" s="65"/>
      <c r="AX211" s="89" t="s">
        <v>120</v>
      </c>
      <c r="AY211" s="89" t="s">
        <v>121</v>
      </c>
      <c r="AZ211" s="89" t="s">
        <v>122</v>
      </c>
      <c r="BA211" s="89" t="s">
        <v>354</v>
      </c>
      <c r="BB211" s="65"/>
      <c r="BC211" s="89" t="s">
        <v>120</v>
      </c>
      <c r="BD211" s="89" t="s">
        <v>121</v>
      </c>
      <c r="BE211" s="89" t="s">
        <v>122</v>
      </c>
      <c r="BF211" s="65"/>
      <c r="BG211" s="89" t="s">
        <v>120</v>
      </c>
      <c r="BH211" s="89" t="s">
        <v>121</v>
      </c>
      <c r="BI211" s="89" t="s">
        <v>122</v>
      </c>
      <c r="BJ211" s="89" t="s">
        <v>354</v>
      </c>
      <c r="BK211" s="65"/>
      <c r="BL211" s="65"/>
      <c r="BM211" s="65"/>
    </row>
    <row r="212" spans="1:65" outlineLevel="1" x14ac:dyDescent="0.25">
      <c r="A212" s="61"/>
      <c r="B212" s="272"/>
      <c r="C212" s="91"/>
      <c r="D212" s="418" t="s">
        <v>1029</v>
      </c>
      <c r="E212" s="419"/>
      <c r="F212" s="94">
        <v>1</v>
      </c>
      <c r="G212" s="136">
        <f>IF(ISNUMBER(VLOOKUP(LEFT(D212,3),'Material editor'!$D$11:$H$110,'Material editor'!$E$8,0)),VLOOKUP(LEFT(D212,3),'Material editor'!$D$11:$H$110,'Material editor'!$E$8,0),"")</f>
        <v>0.25</v>
      </c>
      <c r="H212" s="137">
        <f>IF(ISNUMBER(VLOOKUP(LEFT(D212,3),'Material editor'!$D$11:$H$110,'Material editor'!$F$8,0)),VLOOKUP(LEFT(D212,3),'Material editor'!$D$11:$H$110,'Material editor'!$F$8,0),"")</f>
        <v>1070.8637995403842</v>
      </c>
      <c r="I212" s="137">
        <f>IF(ISNUMBER(VLOOKUP(LEFT(D212,3),'Material editor'!$D$11:$H$110,'Material editor'!$G$8,0)),VLOOKUP(LEFT(D212,3),'Material editor'!$D$11:$H$110,'Material editor'!$G$8,0),"")</f>
        <v>138.92307717733519</v>
      </c>
      <c r="J212" s="137">
        <f>IF(ISNUMBER(VLOOKUP(LEFT(D212,3),'Material editor'!$D$11:$H$110,'Material editor'!$H$8,0)),VLOOKUP(LEFT(D212,3),'Material editor'!$D$11:$H$110,'Material editor'!$H$8,0),"")</f>
        <v>40</v>
      </c>
      <c r="K212" s="422"/>
      <c r="L212" s="419"/>
      <c r="M212" s="94"/>
      <c r="N212" s="136" t="str">
        <f>IF(ISNUMBER(VLOOKUP(LEFT(K212,3),'Material editor'!$D$11:$H$110,'Material editor'!$E$8,0)),VLOOKUP(LEFT(K212,3),'Material editor'!$D$11:$H$110,'Material editor'!$E$8,0),"")</f>
        <v/>
      </c>
      <c r="O212" s="137" t="str">
        <f>IF(ISNUMBER(VLOOKUP(LEFT(K212,3),'Material editor'!$D$11:$H$110,'Material editor'!$F$8,0)),VLOOKUP(LEFT(K212,3),'Material editor'!$D$11:$H$110,'Material editor'!$F$8,0),"")</f>
        <v/>
      </c>
      <c r="P212" s="137" t="str">
        <f>IF(ISNUMBER(VLOOKUP(LEFT(K212,3),'Material editor'!$D$11:$H$110,'Material editor'!$G$8,0)),VLOOKUP(LEFT(K212,3),'Material editor'!$D$11:$H$110,'Material editor'!$G$8,0),"")</f>
        <v/>
      </c>
      <c r="Q212" s="137" t="str">
        <f>IF(ISNUMBER(VLOOKUP(LEFT(K212,3),'Material editor'!$D$11:$H$110,'Material editor'!$H$8,0)),VLOOKUP(LEFT(K212,3),'Material editor'!$D$11:$H$110,'Material editor'!$H$8,0),"")</f>
        <v/>
      </c>
      <c r="R212" s="418"/>
      <c r="S212" s="407"/>
      <c r="T212" s="94"/>
      <c r="U212" s="136" t="str">
        <f>IF(ISNUMBER(VLOOKUP(LEFT(R212,3),'Material editor'!$D$11:$H$110,'Material editor'!$E$8,0)),VLOOKUP(LEFT(R212,3),'Material editor'!$D$11:$H$110,'Material editor'!$E$8,0),"")</f>
        <v/>
      </c>
      <c r="V212" s="137" t="str">
        <f>IF(ISNUMBER(VLOOKUP(LEFT(R212,3),'Material editor'!$D$11:$H$110,'Material editor'!$F$8,0)),VLOOKUP(LEFT(R212,3),'Material editor'!$D$11:$H$110,'Material editor'!$F$8,0),"")</f>
        <v/>
      </c>
      <c r="W212" s="137" t="str">
        <f>IF(ISNUMBER(VLOOKUP(LEFT(R212,3),'Material editor'!$D$11:$H$110,'Material editor'!$G$8,0)),VLOOKUP(LEFT(R212,3),'Material editor'!$D$11:$H$110,'Material editor'!$G$8,0),"")</f>
        <v/>
      </c>
      <c r="X212" s="137" t="str">
        <f>IF(ISNUMBER(VLOOKUP(LEFT(R212,3),'Material editor'!$D$11:$H$110,'Material editor'!$H$8,0)),VLOOKUP(LEFT(R212,3),'Material editor'!$D$11:$H$110,'Material editor'!$H$8,0),"")</f>
        <v/>
      </c>
      <c r="Y212" s="74"/>
      <c r="Z212" s="94">
        <v>10</v>
      </c>
      <c r="AA212" s="8"/>
      <c r="AB212" s="61"/>
      <c r="AC212" s="65"/>
      <c r="AD212" s="65"/>
      <c r="AE212" s="95">
        <f t="shared" ref="AE212:AE219" si="152">IF(ISNUMBER(G212),IF(G212&gt;0,$Z212/1000/G212,0),0)</f>
        <v>0.04</v>
      </c>
      <c r="AF212" s="95">
        <f t="shared" ref="AF212:AF219" si="153">IF(ISNUMBER(N212),IF(N212&gt;0,$Z212/1000/N212,0),$AE212)</f>
        <v>0.04</v>
      </c>
      <c r="AG212" s="95">
        <f t="shared" ref="AG212:AG219" si="154">IF(ISNUMBER(U212),IF(U212&gt;0,$Z212/1000/U212,0),$AE212)</f>
        <v>0.04</v>
      </c>
      <c r="AH212" s="65"/>
      <c r="AI212" s="95">
        <f t="shared" ref="AI212:AI218" si="155">IF(ISNUMBER(G212),G212,0)</f>
        <v>0.25</v>
      </c>
      <c r="AJ212" s="95">
        <f t="shared" ref="AJ212:AJ219" si="156">IF(ISNUMBER(N212),IF(N212&gt;0,N212,0),$AI212)</f>
        <v>0.25</v>
      </c>
      <c r="AK212" s="95">
        <f t="shared" ref="AK212:AK219" si="157">IF(ISNUMBER(U212),IF(U212&gt;0,U212,0),$AI212)</f>
        <v>0.25</v>
      </c>
      <c r="AL212" s="65"/>
      <c r="AM212" s="96">
        <f>AE221</f>
        <v>0.90400000000000003</v>
      </c>
      <c r="AN212" s="96">
        <f>AF221</f>
        <v>9.6000000000000002E-2</v>
      </c>
      <c r="AO212" s="96">
        <f>AG221</f>
        <v>0</v>
      </c>
      <c r="AP212" s="65">
        <f t="shared" ref="AP212:AP219" si="158">IF(AI212&lt;&gt;0,Z212/1000/SUMPRODUCT(AM212:AO212,AI212:AK212),0)</f>
        <v>0.04</v>
      </c>
      <c r="AQ212" s="65"/>
      <c r="AR212" s="65"/>
      <c r="AS212" s="65"/>
      <c r="AT212" s="95">
        <f>IF(ISNUMBER(H212),H212*F212*Z212/1000*Balance!$H$13/J212,0)</f>
        <v>5.3543189977019212</v>
      </c>
      <c r="AU212" s="95">
        <f>IF(ISTEXT(K212),IF(ISNUMBER(O212),O212*M212*Z212/1000*Balance!$H$13/Q212,0),AT212)</f>
        <v>5.3543189977019212</v>
      </c>
      <c r="AV212" s="95">
        <f>IF(ISTEXT(R212),IF(ISNUMBER(V212),V212*T212*Z212/1000*Balance!$H$13/X212,0),AT212)</f>
        <v>5.3543189977019212</v>
      </c>
      <c r="AW212" s="99"/>
      <c r="AX212" s="95">
        <f>AT212*AX210</f>
        <v>4.8403043739225371</v>
      </c>
      <c r="AY212" s="95">
        <f>AU212*AY210</f>
        <v>0.51401462377938445</v>
      </c>
      <c r="AZ212" s="95">
        <f>AV212*AZ210</f>
        <v>0</v>
      </c>
      <c r="BA212" s="95">
        <f>SUM(AX212:AZ212)</f>
        <v>5.3543189977019212</v>
      </c>
      <c r="BB212" s="65"/>
      <c r="BC212" s="95">
        <f>IF(ISNUMBER(I212),I212*F212*Z212/1000*Balance!$H$13/J212,0)</f>
        <v>0.69461538588667604</v>
      </c>
      <c r="BD212" s="95">
        <f>IF(ISTEXT(K212),IF(ISNUMBER(P212),P212*M212*Z212/1000*Balance!$H$13/Q212,0),BC212)</f>
        <v>0.69461538588667604</v>
      </c>
      <c r="BE212" s="95">
        <f>IF(ISTEXT(R212),IF(ISNUMBER(W212),W212*T212*Z212/1000*Balance!$H$13/X212,0),BC212)</f>
        <v>0.69461538588667604</v>
      </c>
      <c r="BF212" s="99"/>
      <c r="BG212" s="95">
        <f>BC212*BG210</f>
        <v>0.62793230884155515</v>
      </c>
      <c r="BH212" s="95">
        <f>BD212*BH210</f>
        <v>6.66830770451209E-2</v>
      </c>
      <c r="BI212" s="95">
        <f>BE212*BI210</f>
        <v>0</v>
      </c>
      <c r="BJ212" s="95">
        <f>SUM(BG212:BI212)</f>
        <v>0.69461538588667604</v>
      </c>
      <c r="BK212" s="65"/>
      <c r="BL212" s="65"/>
      <c r="BM212" s="65"/>
    </row>
    <row r="213" spans="1:65" outlineLevel="1" x14ac:dyDescent="0.25">
      <c r="A213" s="61"/>
      <c r="B213" s="272"/>
      <c r="C213" s="91"/>
      <c r="D213" s="418" t="s">
        <v>1030</v>
      </c>
      <c r="E213" s="419"/>
      <c r="F213" s="94">
        <v>1</v>
      </c>
      <c r="G213" s="136">
        <f>IF(ISNUMBER(VLOOKUP(LEFT(D213,3),'Material editor'!$D$11:$H$110,'Material editor'!$E$8,0)),VLOOKUP(LEFT(D213,3),'Material editor'!$D$11:$H$110,'Material editor'!$E$8,0),"")</f>
        <v>0.13</v>
      </c>
      <c r="H213" s="137">
        <f>IF(ISNUMBER(VLOOKUP(LEFT(D213,3),'Material editor'!$D$11:$H$110,'Material editor'!$F$8,0)),VLOOKUP(LEFT(D213,3),'Material editor'!$D$11:$H$110,'Material editor'!$F$8,0),"")</f>
        <v>3027.3954833451362</v>
      </c>
      <c r="I213" s="137">
        <f>IF(ISNUMBER(VLOOKUP(LEFT(D213,3),'Material editor'!$D$11:$H$110,'Material editor'!$G$8,0)),VLOOKUP(LEFT(D213,3),'Material editor'!$D$11:$H$110,'Material editor'!$G$8,0),"")</f>
        <v>-608.78646748019798</v>
      </c>
      <c r="J213" s="137">
        <f>IF(ISNUMBER(VLOOKUP(LEFT(D213,3),'Material editor'!$D$11:$H$110,'Material editor'!$H$8,0)),VLOOKUP(LEFT(D213,3),'Material editor'!$D$11:$H$110,'Material editor'!$H$8,0),"")</f>
        <v>80</v>
      </c>
      <c r="K213" s="422"/>
      <c r="L213" s="419"/>
      <c r="M213" s="94"/>
      <c r="N213" s="136" t="str">
        <f>IF(ISNUMBER(VLOOKUP(LEFT(K213,3),'Material editor'!$D$11:$H$110,'Material editor'!$E$8,0)),VLOOKUP(LEFT(K213,3),'Material editor'!$D$11:$H$110,'Material editor'!$E$8,0),"")</f>
        <v/>
      </c>
      <c r="O213" s="137" t="str">
        <f>IF(ISNUMBER(VLOOKUP(LEFT(K213,3),'Material editor'!$D$11:$H$110,'Material editor'!$F$8,0)),VLOOKUP(LEFT(K213,3),'Material editor'!$D$11:$H$110,'Material editor'!$F$8,0),"")</f>
        <v/>
      </c>
      <c r="P213" s="137" t="str">
        <f>IF(ISNUMBER(VLOOKUP(LEFT(K213,3),'Material editor'!$D$11:$H$110,'Material editor'!$G$8,0)),VLOOKUP(LEFT(K213,3),'Material editor'!$D$11:$H$110,'Material editor'!$G$8,0),"")</f>
        <v/>
      </c>
      <c r="Q213" s="137" t="str">
        <f>IF(ISNUMBER(VLOOKUP(LEFT(K213,3),'Material editor'!$D$11:$H$110,'Material editor'!$H$8,0)),VLOOKUP(LEFT(K213,3),'Material editor'!$D$11:$H$110,'Material editor'!$H$8,0),"")</f>
        <v/>
      </c>
      <c r="R213" s="418"/>
      <c r="S213" s="407"/>
      <c r="T213" s="94"/>
      <c r="U213" s="136" t="str">
        <f>IF(ISNUMBER(VLOOKUP(LEFT(R213,3),'Material editor'!$D$11:$H$110,'Material editor'!$E$8,0)),VLOOKUP(LEFT(R213,3),'Material editor'!$D$11:$H$110,'Material editor'!$E$8,0),"")</f>
        <v/>
      </c>
      <c r="V213" s="137" t="str">
        <f>IF(ISNUMBER(VLOOKUP(LEFT(R213,3),'Material editor'!$D$11:$H$110,'Material editor'!$F$8,0)),VLOOKUP(LEFT(R213,3),'Material editor'!$D$11:$H$110,'Material editor'!$F$8,0),"")</f>
        <v/>
      </c>
      <c r="W213" s="137" t="str">
        <f>IF(ISNUMBER(VLOOKUP(LEFT(R213,3),'Material editor'!$D$11:$H$110,'Material editor'!$G$8,0)),VLOOKUP(LEFT(R213,3),'Material editor'!$D$11:$H$110,'Material editor'!$G$8,0),"")</f>
        <v/>
      </c>
      <c r="X213" s="137" t="str">
        <f>IF(ISNUMBER(VLOOKUP(LEFT(R213,3),'Material editor'!$D$11:$H$110,'Material editor'!$H$8,0)),VLOOKUP(LEFT(R213,3),'Material editor'!$D$11:$H$110,'Material editor'!$H$8,0),"")</f>
        <v/>
      </c>
      <c r="Y213" s="74"/>
      <c r="Z213" s="94">
        <v>15</v>
      </c>
      <c r="AA213" s="8"/>
      <c r="AB213" s="61"/>
      <c r="AC213" s="65"/>
      <c r="AD213" s="65"/>
      <c r="AE213" s="95">
        <f t="shared" si="152"/>
        <v>0.11538461538461538</v>
      </c>
      <c r="AF213" s="95">
        <f t="shared" si="153"/>
        <v>0.11538461538461538</v>
      </c>
      <c r="AG213" s="95">
        <f t="shared" si="154"/>
        <v>0.11538461538461538</v>
      </c>
      <c r="AH213" s="65"/>
      <c r="AI213" s="95">
        <f t="shared" si="155"/>
        <v>0.13</v>
      </c>
      <c r="AJ213" s="95">
        <f t="shared" si="156"/>
        <v>0.13</v>
      </c>
      <c r="AK213" s="95">
        <f t="shared" si="157"/>
        <v>0.13</v>
      </c>
      <c r="AL213" s="65"/>
      <c r="AM213" s="96">
        <f t="shared" ref="AM213:AO213" si="159">AM212</f>
        <v>0.90400000000000003</v>
      </c>
      <c r="AN213" s="96">
        <f t="shared" si="159"/>
        <v>9.6000000000000002E-2</v>
      </c>
      <c r="AO213" s="96">
        <f t="shared" si="159"/>
        <v>0</v>
      </c>
      <c r="AP213" s="65">
        <f t="shared" si="158"/>
        <v>0.11538461538461538</v>
      </c>
      <c r="AQ213" s="65"/>
      <c r="AR213" s="65"/>
      <c r="AS213" s="65"/>
      <c r="AT213" s="95">
        <f>IF(ISNUMBER(H213),H213*F213*Z213/1000*Balance!$H$13/J213,0)</f>
        <v>11.35273306254426</v>
      </c>
      <c r="AU213" s="95">
        <f>IF(ISTEXT(K213),IF(ISNUMBER(O213),O213*M213*Z213/1000*Balance!$H$13/Q213,0),AT213)</f>
        <v>11.35273306254426</v>
      </c>
      <c r="AV213" s="95">
        <f>IF(ISTEXT(R213),IF(ISNUMBER(V213),V213*T213*Z213/1000*Balance!$H$13/X213,0),AT213)</f>
        <v>11.35273306254426</v>
      </c>
      <c r="AW213" s="65"/>
      <c r="AX213" s="95">
        <f>AT213*AX210</f>
        <v>10.262870688540012</v>
      </c>
      <c r="AY213" s="95">
        <f>AU213*AY210</f>
        <v>1.089862374004249</v>
      </c>
      <c r="AZ213" s="95">
        <f>AV213*AZ210</f>
        <v>0</v>
      </c>
      <c r="BA213" s="95">
        <f t="shared" ref="BA213:BA219" si="160">SUM(AX213:AZ213)</f>
        <v>11.35273306254426</v>
      </c>
      <c r="BB213" s="65"/>
      <c r="BC213" s="95">
        <f>IF(ISNUMBER(I213),I213*F213*Z213/1000*Balance!$H$13/J213,0)</f>
        <v>-2.2829492530507425</v>
      </c>
      <c r="BD213" s="95">
        <f>IF(ISTEXT(K213),IF(ISNUMBER(P213),P213*M213*Z213/1000*Balance!$H$13/Q213,0),BC213)</f>
        <v>-2.2829492530507425</v>
      </c>
      <c r="BE213" s="95">
        <f>IF(ISTEXT(R213),IF(ISNUMBER(W213),W213*T213*Z213/1000*Balance!$H$13/X213,0),BC213)</f>
        <v>-2.2829492530507425</v>
      </c>
      <c r="BF213" s="65"/>
      <c r="BG213" s="95">
        <f>BC213*BG210</f>
        <v>-2.063786124757871</v>
      </c>
      <c r="BH213" s="95">
        <f>BD213*BH210</f>
        <v>-0.2191631282928713</v>
      </c>
      <c r="BI213" s="95">
        <f>BE213*BI210</f>
        <v>0</v>
      </c>
      <c r="BJ213" s="95">
        <f t="shared" ref="BJ213:BJ219" si="161">SUM(BG213:BI213)</f>
        <v>-2.2829492530507425</v>
      </c>
      <c r="BK213" s="65"/>
      <c r="BL213" s="65"/>
      <c r="BM213" s="65"/>
    </row>
    <row r="214" spans="1:65" outlineLevel="1" x14ac:dyDescent="0.25">
      <c r="A214" s="61"/>
      <c r="B214" s="272"/>
      <c r="C214" s="91"/>
      <c r="D214" s="418" t="s">
        <v>1011</v>
      </c>
      <c r="E214" s="419"/>
      <c r="F214" s="94">
        <v>1</v>
      </c>
      <c r="G214" s="136">
        <f>IF(ISNUMBER(VLOOKUP(LEFT(D214,3),'Material editor'!$D$11:$H$110,'Material editor'!$E$8,0)),VLOOKUP(LEFT(D214,3),'Material editor'!$D$11:$H$110,'Material editor'!$E$8,0),"")</f>
        <v>0.04</v>
      </c>
      <c r="H214" s="137">
        <f>IF(ISNUMBER(VLOOKUP(LEFT(D214,3),'Material editor'!$D$11:$H$110,'Material editor'!$F$8,0)),VLOOKUP(LEFT(D214,3),'Material editor'!$D$11:$H$110,'Material editor'!$F$8,0),"")</f>
        <v>33.878444444444447</v>
      </c>
      <c r="I214" s="137">
        <f>IF(ISNUMBER(VLOOKUP(LEFT(D214,3),'Material editor'!$D$11:$H$110,'Material editor'!$G$8,0)),VLOOKUP(LEFT(D214,3),'Material editor'!$D$11:$H$110,'Material editor'!$G$8,0),"")</f>
        <v>-73.372500000000002</v>
      </c>
      <c r="J214" s="137">
        <f>IF(ISNUMBER(VLOOKUP(LEFT(D214,3),'Material editor'!$D$11:$H$110,'Material editor'!$H$8,0)),VLOOKUP(LEFT(D214,3),'Material editor'!$D$11:$H$110,'Material editor'!$H$8,0),"")</f>
        <v>40</v>
      </c>
      <c r="K214" s="422" t="s">
        <v>1035</v>
      </c>
      <c r="L214" s="419"/>
      <c r="M214" s="94">
        <v>1</v>
      </c>
      <c r="N214" s="136">
        <f>IF(ISNUMBER(VLOOKUP(LEFT(K214,3),'Material editor'!$D$11:$H$110,'Material editor'!$E$8,0)),VLOOKUP(LEFT(K214,3),'Material editor'!$D$11:$H$110,'Material editor'!$E$8,0),"")</f>
        <v>0.13</v>
      </c>
      <c r="O214" s="137">
        <f>IF(ISNUMBER(VLOOKUP(LEFT(K214,3),'Material editor'!$D$11:$H$110,'Material editor'!$F$8,0)),VLOOKUP(LEFT(K214,3),'Material editor'!$D$11:$H$110,'Material editor'!$F$8,0),"")</f>
        <v>1434.0932694222695</v>
      </c>
      <c r="P214" s="137">
        <f>IF(ISNUMBER(VLOOKUP(LEFT(K214,3),'Material editor'!$D$11:$H$110,'Material editor'!$G$8,0)),VLOOKUP(LEFT(K214,3),'Material editor'!$D$11:$H$110,'Material editor'!$G$8,0),"")</f>
        <v>-636.14449532812898</v>
      </c>
      <c r="Q214" s="137">
        <f>IF(ISNUMBER(VLOOKUP(LEFT(K214,3),'Material editor'!$D$11:$H$110,'Material editor'!$H$8,0)),VLOOKUP(LEFT(K214,3),'Material editor'!$D$11:$H$110,'Material editor'!$H$8,0),"")</f>
        <v>80</v>
      </c>
      <c r="R214" s="418"/>
      <c r="S214" s="407"/>
      <c r="T214" s="94"/>
      <c r="U214" s="136" t="str">
        <f>IF(ISNUMBER(VLOOKUP(LEFT(R214,3),'Material editor'!$D$11:$H$110,'Material editor'!$E$8,0)),VLOOKUP(LEFT(R214,3),'Material editor'!$D$11:$H$110,'Material editor'!$E$8,0),"")</f>
        <v/>
      </c>
      <c r="V214" s="137" t="str">
        <f>IF(ISNUMBER(VLOOKUP(LEFT(R214,3),'Material editor'!$D$11:$H$110,'Material editor'!$F$8,0)),VLOOKUP(LEFT(R214,3),'Material editor'!$D$11:$H$110,'Material editor'!$F$8,0),"")</f>
        <v/>
      </c>
      <c r="W214" s="137" t="str">
        <f>IF(ISNUMBER(VLOOKUP(LEFT(R214,3),'Material editor'!$D$11:$H$110,'Material editor'!$G$8,0)),VLOOKUP(LEFT(R214,3),'Material editor'!$D$11:$H$110,'Material editor'!$G$8,0),"")</f>
        <v/>
      </c>
      <c r="X214" s="137" t="str">
        <f>IF(ISNUMBER(VLOOKUP(LEFT(R214,3),'Material editor'!$D$11:$H$110,'Material editor'!$H$8,0)),VLOOKUP(LEFT(R214,3),'Material editor'!$D$11:$H$110,'Material editor'!$H$8,0),"")</f>
        <v/>
      </c>
      <c r="Y214" s="74"/>
      <c r="Z214" s="94">
        <v>240</v>
      </c>
      <c r="AA214" s="8"/>
      <c r="AB214" s="61"/>
      <c r="AC214" s="65"/>
      <c r="AD214" s="65"/>
      <c r="AE214" s="95">
        <f t="shared" si="152"/>
        <v>6</v>
      </c>
      <c r="AF214" s="95">
        <f t="shared" si="153"/>
        <v>1.846153846153846</v>
      </c>
      <c r="AG214" s="95">
        <f t="shared" si="154"/>
        <v>6</v>
      </c>
      <c r="AH214" s="65"/>
      <c r="AI214" s="95">
        <f t="shared" si="155"/>
        <v>0.04</v>
      </c>
      <c r="AJ214" s="95">
        <f t="shared" si="156"/>
        <v>0.13</v>
      </c>
      <c r="AK214" s="95">
        <f t="shared" si="157"/>
        <v>0.04</v>
      </c>
      <c r="AL214" s="65"/>
      <c r="AM214" s="96">
        <f t="shared" ref="AM214:AO214" si="162">AM213</f>
        <v>0.90400000000000003</v>
      </c>
      <c r="AN214" s="96">
        <f t="shared" si="162"/>
        <v>9.6000000000000002E-2</v>
      </c>
      <c r="AO214" s="96">
        <f t="shared" si="162"/>
        <v>0</v>
      </c>
      <c r="AP214" s="65">
        <f t="shared" si="158"/>
        <v>4.9342105263157894</v>
      </c>
      <c r="AQ214" s="65"/>
      <c r="AR214" s="65"/>
      <c r="AS214" s="65"/>
      <c r="AT214" s="95">
        <f>IF(ISNUMBER(H214),H214*F214*Z214/1000*Balance!$H$13/J214,0)</f>
        <v>4.0654133333333338</v>
      </c>
      <c r="AU214" s="95">
        <f>IF(ISTEXT(K214),IF(ISNUMBER(O214),O214*M214*Z214/1000*Balance!$H$13/Q214,0),AT214)</f>
        <v>86.045596165336178</v>
      </c>
      <c r="AV214" s="95">
        <f>IF(ISTEXT(R214),IF(ISNUMBER(V214),V214*T214*Z214/1000*Balance!$H$13/X214,0),AT214)</f>
        <v>4.0654133333333338</v>
      </c>
      <c r="AW214" s="65"/>
      <c r="AX214" s="95">
        <f>AT214*AX210</f>
        <v>3.6751336533333339</v>
      </c>
      <c r="AY214" s="95">
        <f>AU214*AY210</f>
        <v>8.2603772318722726</v>
      </c>
      <c r="AZ214" s="95">
        <f>AV214*AZ210</f>
        <v>0</v>
      </c>
      <c r="BA214" s="95">
        <f t="shared" si="160"/>
        <v>11.935510885205606</v>
      </c>
      <c r="BB214" s="65"/>
      <c r="BC214" s="95">
        <f>IF(ISNUMBER(I214),I214*F214*Z214/1000*Balance!$H$13/J214,0)</f>
        <v>-8.8047000000000004</v>
      </c>
      <c r="BD214" s="95">
        <f>IF(ISTEXT(K214),IF(ISNUMBER(P214),P214*M214*Z214/1000*Balance!$H$13/Q214,0),BC214)</f>
        <v>-38.168669719687735</v>
      </c>
      <c r="BE214" s="95">
        <f>IF(ISTEXT(R214),IF(ISNUMBER(W214),W214*T214*Z214/1000*Balance!$H$13/X214,0),BC214)</f>
        <v>-8.8047000000000004</v>
      </c>
      <c r="BF214" s="65"/>
      <c r="BG214" s="95">
        <f>BC214*BG210</f>
        <v>-7.9594488000000005</v>
      </c>
      <c r="BH214" s="95">
        <f>BD214*BH210</f>
        <v>-3.6641922930900228</v>
      </c>
      <c r="BI214" s="95">
        <f>BE214*BI210</f>
        <v>0</v>
      </c>
      <c r="BJ214" s="95">
        <f t="shared" si="161"/>
        <v>-11.623641093090024</v>
      </c>
      <c r="BK214" s="65"/>
      <c r="BL214" s="65"/>
      <c r="BM214" s="65"/>
    </row>
    <row r="215" spans="1:65" outlineLevel="1" x14ac:dyDescent="0.25">
      <c r="A215" s="61"/>
      <c r="B215" s="272"/>
      <c r="C215" s="91"/>
      <c r="D215" s="418" t="s">
        <v>1028</v>
      </c>
      <c r="E215" s="419"/>
      <c r="F215" s="94">
        <v>1</v>
      </c>
      <c r="G215" s="136">
        <f>IF(ISNUMBER(VLOOKUP(LEFT(D215,3),'Material editor'!$D$11:$H$110,'Material editor'!$E$8,0)),VLOOKUP(LEFT(D215,3),'Material editor'!$D$11:$H$110,'Material editor'!$E$8,0),"")</f>
        <v>4.4999999999999998E-2</v>
      </c>
      <c r="H215" s="137">
        <f>IF(ISNUMBER(VLOOKUP(LEFT(D215,3),'Material editor'!$D$11:$H$110,'Material editor'!$F$8,0)),VLOOKUP(LEFT(D215,3),'Material editor'!$D$11:$H$110,'Material editor'!$F$8,0),"")</f>
        <v>700.38883783406686</v>
      </c>
      <c r="I215" s="137">
        <f>IF(ISNUMBER(VLOOKUP(LEFT(D215,3),'Material editor'!$D$11:$H$110,'Material editor'!$G$8,0)),VLOOKUP(LEFT(D215,3),'Material editor'!$D$11:$H$110,'Material editor'!$G$8,0),"")</f>
        <v>-153.896768984163</v>
      </c>
      <c r="J215" s="137">
        <f>IF(ISNUMBER(VLOOKUP(LEFT(D215,3),'Material editor'!$D$11:$H$110,'Material editor'!$H$8,0)),VLOOKUP(LEFT(D215,3),'Material editor'!$D$11:$H$110,'Material editor'!$H$8,0),"")</f>
        <v>40</v>
      </c>
      <c r="K215" s="422"/>
      <c r="L215" s="419"/>
      <c r="M215" s="94"/>
      <c r="N215" s="136" t="str">
        <f>IF(ISNUMBER(VLOOKUP(LEFT(K215,3),'Material editor'!$D$11:$H$110,'Material editor'!$E$8,0)),VLOOKUP(LEFT(K215,3),'Material editor'!$D$11:$H$110,'Material editor'!$E$8,0),"")</f>
        <v/>
      </c>
      <c r="O215" s="137" t="str">
        <f>IF(ISNUMBER(VLOOKUP(LEFT(K215,3),'Material editor'!$D$11:$H$110,'Material editor'!$F$8,0)),VLOOKUP(LEFT(K215,3),'Material editor'!$D$11:$H$110,'Material editor'!$F$8,0),"")</f>
        <v/>
      </c>
      <c r="P215" s="137" t="str">
        <f>IF(ISNUMBER(VLOOKUP(LEFT(K215,3),'Material editor'!$D$11:$H$110,'Material editor'!$G$8,0)),VLOOKUP(LEFT(K215,3),'Material editor'!$D$11:$H$110,'Material editor'!$G$8,0),"")</f>
        <v/>
      </c>
      <c r="Q215" s="137" t="str">
        <f>IF(ISNUMBER(VLOOKUP(LEFT(K215,3),'Material editor'!$D$11:$H$110,'Material editor'!$H$8,0)),VLOOKUP(LEFT(K215,3),'Material editor'!$D$11:$H$110,'Material editor'!$H$8,0),"")</f>
        <v/>
      </c>
      <c r="R215" s="418"/>
      <c r="S215" s="407"/>
      <c r="T215" s="94"/>
      <c r="U215" s="136" t="str">
        <f>IF(ISNUMBER(VLOOKUP(LEFT(R215,3),'Material editor'!$D$11:$H$110,'Material editor'!$E$8,0)),VLOOKUP(LEFT(R215,3),'Material editor'!$D$11:$H$110,'Material editor'!$E$8,0),"")</f>
        <v/>
      </c>
      <c r="V215" s="137" t="str">
        <f>IF(ISNUMBER(VLOOKUP(LEFT(R215,3),'Material editor'!$D$11:$H$110,'Material editor'!$F$8,0)),VLOOKUP(LEFT(R215,3),'Material editor'!$D$11:$H$110,'Material editor'!$F$8,0),"")</f>
        <v/>
      </c>
      <c r="W215" s="137" t="str">
        <f>IF(ISNUMBER(VLOOKUP(LEFT(R215,3),'Material editor'!$D$11:$H$110,'Material editor'!$G$8,0)),VLOOKUP(LEFT(R215,3),'Material editor'!$D$11:$H$110,'Material editor'!$G$8,0),"")</f>
        <v/>
      </c>
      <c r="X215" s="137" t="str">
        <f>IF(ISNUMBER(VLOOKUP(LEFT(R215,3),'Material editor'!$D$11:$H$110,'Material editor'!$H$8,0)),VLOOKUP(LEFT(R215,3),'Material editor'!$D$11:$H$110,'Material editor'!$H$8,0),"")</f>
        <v/>
      </c>
      <c r="Y215" s="74"/>
      <c r="Z215" s="94">
        <v>60</v>
      </c>
      <c r="AA215" s="8"/>
      <c r="AB215" s="61"/>
      <c r="AC215" s="65"/>
      <c r="AD215" s="65"/>
      <c r="AE215" s="95">
        <f t="shared" si="152"/>
        <v>1.3333333333333333</v>
      </c>
      <c r="AF215" s="95">
        <f t="shared" si="153"/>
        <v>1.3333333333333333</v>
      </c>
      <c r="AG215" s="95">
        <f t="shared" si="154"/>
        <v>1.3333333333333333</v>
      </c>
      <c r="AH215" s="65"/>
      <c r="AI215" s="95">
        <f t="shared" si="155"/>
        <v>4.4999999999999998E-2</v>
      </c>
      <c r="AJ215" s="95">
        <f t="shared" si="156"/>
        <v>4.4999999999999998E-2</v>
      </c>
      <c r="AK215" s="95">
        <f t="shared" si="157"/>
        <v>4.4999999999999998E-2</v>
      </c>
      <c r="AL215" s="65"/>
      <c r="AM215" s="96">
        <f t="shared" ref="AM215:AO215" si="163">AM214</f>
        <v>0.90400000000000003</v>
      </c>
      <c r="AN215" s="96">
        <f t="shared" si="163"/>
        <v>9.6000000000000002E-2</v>
      </c>
      <c r="AO215" s="96">
        <f t="shared" si="163"/>
        <v>0</v>
      </c>
      <c r="AP215" s="65">
        <f t="shared" si="158"/>
        <v>1.3333333333333333</v>
      </c>
      <c r="AQ215" s="65"/>
      <c r="AR215" s="65"/>
      <c r="AS215" s="65"/>
      <c r="AT215" s="95">
        <f>IF(ISNUMBER(H215),H215*F215*Z215/1000*Balance!$H$13/J215,0)</f>
        <v>21.011665135022007</v>
      </c>
      <c r="AU215" s="95">
        <f>IF(ISTEXT(K215),IF(ISNUMBER(O215),O215*M215*Z215/1000*Balance!$H$13/Q215,0),AT215)</f>
        <v>21.011665135022007</v>
      </c>
      <c r="AV215" s="95">
        <f>IF(ISTEXT(R215),IF(ISNUMBER(V215),V215*T215*Z215/1000*Balance!$H$13/X215,0),AT215)</f>
        <v>21.011665135022007</v>
      </c>
      <c r="AW215" s="65"/>
      <c r="AX215" s="95">
        <f>AT215*AX210</f>
        <v>18.994545282059896</v>
      </c>
      <c r="AY215" s="95">
        <f>AU215*AY210</f>
        <v>2.0171198529621126</v>
      </c>
      <c r="AZ215" s="95">
        <f>AV215*AZ210</f>
        <v>0</v>
      </c>
      <c r="BA215" s="95">
        <f t="shared" si="160"/>
        <v>21.011665135022007</v>
      </c>
      <c r="BB215" s="65"/>
      <c r="BC215" s="95">
        <f>IF(ISNUMBER(I215),I215*F215*Z215/1000*Balance!$H$13/J215,0)</f>
        <v>-4.6169030695248905</v>
      </c>
      <c r="BD215" s="95">
        <f>IF(ISTEXT(K215),IF(ISNUMBER(P215),P215*M215*Z215/1000*Balance!$H$13/Q215,0),BC215)</f>
        <v>-4.6169030695248905</v>
      </c>
      <c r="BE215" s="95">
        <f>IF(ISTEXT(R215),IF(ISNUMBER(W215),W215*T215*Z215/1000*Balance!$H$13/X215,0),BC215)</f>
        <v>-4.6169030695248905</v>
      </c>
      <c r="BF215" s="65"/>
      <c r="BG215" s="95">
        <f>BC215*BG210</f>
        <v>-4.1736803748505009</v>
      </c>
      <c r="BH215" s="95">
        <f>BD215*BH210</f>
        <v>-0.44322269467438952</v>
      </c>
      <c r="BI215" s="95">
        <f>BE215*BI210</f>
        <v>0</v>
      </c>
      <c r="BJ215" s="95">
        <f t="shared" si="161"/>
        <v>-4.6169030695248905</v>
      </c>
      <c r="BK215" s="65"/>
      <c r="BL215" s="65"/>
      <c r="BM215" s="65"/>
    </row>
    <row r="216" spans="1:65" outlineLevel="1" x14ac:dyDescent="0.25">
      <c r="A216" s="61"/>
      <c r="B216" s="272"/>
      <c r="C216" s="91"/>
      <c r="D216" s="418" t="s">
        <v>1027</v>
      </c>
      <c r="E216" s="419"/>
      <c r="F216" s="94">
        <v>1</v>
      </c>
      <c r="G216" s="136">
        <f>IF(ISNUMBER(VLOOKUP(LEFT(D216,3),'Material editor'!$D$11:$H$110,'Material editor'!$E$8,0)),VLOOKUP(LEFT(D216,3),'Material editor'!$D$11:$H$110,'Material editor'!$E$8,0),"")</f>
        <v>1</v>
      </c>
      <c r="H216" s="137">
        <f>IF(ISNUMBER(VLOOKUP(LEFT(D216,3),'Material editor'!$D$11:$H$110,'Material editor'!$F$8,0)),VLOOKUP(LEFT(D216,3),'Material editor'!$D$11:$H$110,'Material editor'!$F$8,0),"")</f>
        <v>905.22046069906946</v>
      </c>
      <c r="I216" s="137">
        <f>IF(ISNUMBER(VLOOKUP(LEFT(D216,3),'Material editor'!$D$11:$H$110,'Material editor'!$G$8,0)),VLOOKUP(LEFT(D216,3),'Material editor'!$D$11:$H$110,'Material editor'!$G$8,0),"")</f>
        <v>354.91241395986202</v>
      </c>
      <c r="J216" s="137">
        <f>IF(ISNUMBER(VLOOKUP(LEFT(D216,3),'Material editor'!$D$11:$H$110,'Material editor'!$H$8,0)),VLOOKUP(LEFT(D216,3),'Material editor'!$D$11:$H$110,'Material editor'!$H$8,0),"")</f>
        <v>40</v>
      </c>
      <c r="K216" s="422"/>
      <c r="L216" s="419"/>
      <c r="M216" s="94"/>
      <c r="N216" s="136" t="str">
        <f>IF(ISNUMBER(VLOOKUP(LEFT(K216,3),'Material editor'!$D$11:$H$110,'Material editor'!$E$8,0)),VLOOKUP(LEFT(K216,3),'Material editor'!$D$11:$H$110,'Material editor'!$E$8,0),"")</f>
        <v/>
      </c>
      <c r="O216" s="137" t="str">
        <f>IF(ISNUMBER(VLOOKUP(LEFT(K216,3),'Material editor'!$D$11:$H$110,'Material editor'!$F$8,0)),VLOOKUP(LEFT(K216,3),'Material editor'!$D$11:$H$110,'Material editor'!$F$8,0),"")</f>
        <v/>
      </c>
      <c r="P216" s="137" t="str">
        <f>IF(ISNUMBER(VLOOKUP(LEFT(K216,3),'Material editor'!$D$11:$H$110,'Material editor'!$G$8,0)),VLOOKUP(LEFT(K216,3),'Material editor'!$D$11:$H$110,'Material editor'!$G$8,0),"")</f>
        <v/>
      </c>
      <c r="Q216" s="137" t="str">
        <f>IF(ISNUMBER(VLOOKUP(LEFT(K216,3),'Material editor'!$D$11:$H$110,'Material editor'!$H$8,0)),VLOOKUP(LEFT(K216,3),'Material editor'!$D$11:$H$110,'Material editor'!$H$8,0),"")</f>
        <v/>
      </c>
      <c r="R216" s="418"/>
      <c r="S216" s="407"/>
      <c r="T216" s="94"/>
      <c r="U216" s="136" t="str">
        <f>IF(ISNUMBER(VLOOKUP(LEFT(R216,3),'Material editor'!$D$11:$H$110,'Material editor'!$E$8,0)),VLOOKUP(LEFT(R216,3),'Material editor'!$D$11:$H$110,'Material editor'!$E$8,0),"")</f>
        <v/>
      </c>
      <c r="V216" s="137" t="str">
        <f>IF(ISNUMBER(VLOOKUP(LEFT(R216,3),'Material editor'!$D$11:$H$110,'Material editor'!$F$8,0)),VLOOKUP(LEFT(R216,3),'Material editor'!$D$11:$H$110,'Material editor'!$F$8,0),"")</f>
        <v/>
      </c>
      <c r="W216" s="137" t="str">
        <f>IF(ISNUMBER(VLOOKUP(LEFT(R216,3),'Material editor'!$D$11:$H$110,'Material editor'!$G$8,0)),VLOOKUP(LEFT(R216,3),'Material editor'!$D$11:$H$110,'Material editor'!$G$8,0),"")</f>
        <v/>
      </c>
      <c r="X216" s="137" t="str">
        <f>IF(ISNUMBER(VLOOKUP(LEFT(R216,3),'Material editor'!$D$11:$H$110,'Material editor'!$H$8,0)),VLOOKUP(LEFT(R216,3),'Material editor'!$D$11:$H$110,'Material editor'!$H$8,0),"")</f>
        <v/>
      </c>
      <c r="Y216" s="74"/>
      <c r="Z216" s="94">
        <v>20</v>
      </c>
      <c r="AA216" s="8"/>
      <c r="AB216" s="61"/>
      <c r="AC216" s="65"/>
      <c r="AD216" s="65"/>
      <c r="AE216" s="95">
        <f t="shared" si="152"/>
        <v>0.02</v>
      </c>
      <c r="AF216" s="95">
        <f t="shared" si="153"/>
        <v>0.02</v>
      </c>
      <c r="AG216" s="95">
        <f t="shared" si="154"/>
        <v>0.02</v>
      </c>
      <c r="AH216" s="65"/>
      <c r="AI216" s="95">
        <f t="shared" si="155"/>
        <v>1</v>
      </c>
      <c r="AJ216" s="95">
        <f t="shared" si="156"/>
        <v>1</v>
      </c>
      <c r="AK216" s="95">
        <f t="shared" si="157"/>
        <v>1</v>
      </c>
      <c r="AL216" s="65"/>
      <c r="AM216" s="96">
        <f t="shared" ref="AM216:AO216" si="164">AM215</f>
        <v>0.90400000000000003</v>
      </c>
      <c r="AN216" s="96">
        <f t="shared" si="164"/>
        <v>9.6000000000000002E-2</v>
      </c>
      <c r="AO216" s="96">
        <f t="shared" si="164"/>
        <v>0</v>
      </c>
      <c r="AP216" s="65">
        <f t="shared" si="158"/>
        <v>0.02</v>
      </c>
      <c r="AQ216" s="65"/>
      <c r="AR216" s="65"/>
      <c r="AS216" s="65"/>
      <c r="AT216" s="95">
        <f>IF(ISNUMBER(H216),H216*F216*Z216/1000*Balance!$H$13/J216,0)</f>
        <v>9.0522046069906938</v>
      </c>
      <c r="AU216" s="95">
        <f>IF(ISTEXT(K216),IF(ISNUMBER(O216),O216*M216*Z216/1000*Balance!$H$13/Q216,0),AT216)</f>
        <v>9.0522046069906938</v>
      </c>
      <c r="AV216" s="95">
        <f>IF(ISTEXT(R216),IF(ISNUMBER(V216),V216*T216*Z216/1000*Balance!$H$13/X216,0),AT216)</f>
        <v>9.0522046069906938</v>
      </c>
      <c r="AW216" s="65"/>
      <c r="AX216" s="95">
        <f>AT216*AX210</f>
        <v>8.1831929647195878</v>
      </c>
      <c r="AY216" s="95">
        <f>AU216*AY210</f>
        <v>0.86901164227110661</v>
      </c>
      <c r="AZ216" s="95">
        <f>AV216*AZ210</f>
        <v>0</v>
      </c>
      <c r="BA216" s="95">
        <f t="shared" si="160"/>
        <v>9.0522046069906938</v>
      </c>
      <c r="BB216" s="65"/>
      <c r="BC216" s="95">
        <f>IF(ISNUMBER(I216),I216*F216*Z216/1000*Balance!$H$13/J216,0)</f>
        <v>3.5491241395986202</v>
      </c>
      <c r="BD216" s="95">
        <f>IF(ISTEXT(K216),IF(ISNUMBER(P216),P216*M216*Z216/1000*Balance!$H$13/Q216,0),BC216)</f>
        <v>3.5491241395986202</v>
      </c>
      <c r="BE216" s="95">
        <f>IF(ISTEXT(R216),IF(ISNUMBER(W216),W216*T216*Z216/1000*Balance!$H$13/X216,0),BC216)</f>
        <v>3.5491241395986202</v>
      </c>
      <c r="BF216" s="65"/>
      <c r="BG216" s="95">
        <f>BC216*BG210</f>
        <v>3.2084082221971526</v>
      </c>
      <c r="BH216" s="95">
        <f>BD216*BH210</f>
        <v>0.34071591740146756</v>
      </c>
      <c r="BI216" s="95">
        <f>BE216*BI210</f>
        <v>0</v>
      </c>
      <c r="BJ216" s="95">
        <f t="shared" si="161"/>
        <v>3.5491241395986202</v>
      </c>
      <c r="BK216" s="65"/>
      <c r="BL216" s="65"/>
      <c r="BM216" s="65"/>
    </row>
    <row r="217" spans="1:65" outlineLevel="1" x14ac:dyDescent="0.25">
      <c r="A217" s="61"/>
      <c r="B217" s="272"/>
      <c r="C217" s="91"/>
      <c r="D217" s="418"/>
      <c r="E217" s="419"/>
      <c r="F217" s="94"/>
      <c r="G217" s="136" t="str">
        <f>IF(ISNUMBER(VLOOKUP(LEFT(D217,3),'Material editor'!$D$11:$H$110,'Material editor'!$E$8,0)),VLOOKUP(LEFT(D217,3),'Material editor'!$D$11:$H$110,'Material editor'!$E$8,0),"")</f>
        <v/>
      </c>
      <c r="H217" s="137" t="str">
        <f>IF(ISNUMBER(VLOOKUP(LEFT(D217,3),'Material editor'!$D$11:$H$110,'Material editor'!$F$8,0)),VLOOKUP(LEFT(D217,3),'Material editor'!$D$11:$H$110,'Material editor'!$F$8,0),"")</f>
        <v/>
      </c>
      <c r="I217" s="137" t="str">
        <f>IF(ISNUMBER(VLOOKUP(LEFT(D217,3),'Material editor'!$D$11:$H$110,'Material editor'!$G$8,0)),VLOOKUP(LEFT(D217,3),'Material editor'!$D$11:$H$110,'Material editor'!$G$8,0),"")</f>
        <v/>
      </c>
      <c r="J217" s="137" t="str">
        <f>IF(ISNUMBER(VLOOKUP(LEFT(D217,3),'Material editor'!$D$11:$H$110,'Material editor'!$H$8,0)),VLOOKUP(LEFT(D217,3),'Material editor'!$D$11:$H$110,'Material editor'!$H$8,0),"")</f>
        <v/>
      </c>
      <c r="K217" s="422"/>
      <c r="L217" s="419"/>
      <c r="M217" s="94"/>
      <c r="N217" s="136" t="str">
        <f>IF(ISNUMBER(VLOOKUP(LEFT(K217,3),'Material editor'!$D$11:$H$110,'Material editor'!$E$8,0)),VLOOKUP(LEFT(K217,3),'Material editor'!$D$11:$H$110,'Material editor'!$E$8,0),"")</f>
        <v/>
      </c>
      <c r="O217" s="137" t="str">
        <f>IF(ISNUMBER(VLOOKUP(LEFT(K217,3),'Material editor'!$D$11:$H$110,'Material editor'!$F$8,0)),VLOOKUP(LEFT(K217,3),'Material editor'!$D$11:$H$110,'Material editor'!$F$8,0),"")</f>
        <v/>
      </c>
      <c r="P217" s="137" t="str">
        <f>IF(ISNUMBER(VLOOKUP(LEFT(K217,3),'Material editor'!$D$11:$H$110,'Material editor'!$G$8,0)),VLOOKUP(LEFT(K217,3),'Material editor'!$D$11:$H$110,'Material editor'!$G$8,0),"")</f>
        <v/>
      </c>
      <c r="Q217" s="137" t="str">
        <f>IF(ISNUMBER(VLOOKUP(LEFT(K217,3),'Material editor'!$D$11:$H$110,'Material editor'!$H$8,0)),VLOOKUP(LEFT(K217,3),'Material editor'!$D$11:$H$110,'Material editor'!$H$8,0),"")</f>
        <v/>
      </c>
      <c r="R217" s="418"/>
      <c r="S217" s="407"/>
      <c r="T217" s="94"/>
      <c r="U217" s="136" t="str">
        <f>IF(ISNUMBER(VLOOKUP(LEFT(R217,3),'Material editor'!$D$11:$H$110,'Material editor'!$E$8,0)),VLOOKUP(LEFT(R217,3),'Material editor'!$D$11:$H$110,'Material editor'!$E$8,0),"")</f>
        <v/>
      </c>
      <c r="V217" s="137" t="str">
        <f>IF(ISNUMBER(VLOOKUP(LEFT(R217,3),'Material editor'!$D$11:$H$110,'Material editor'!$F$8,0)),VLOOKUP(LEFT(R217,3),'Material editor'!$D$11:$H$110,'Material editor'!$F$8,0),"")</f>
        <v/>
      </c>
      <c r="W217" s="137" t="str">
        <f>IF(ISNUMBER(VLOOKUP(LEFT(R217,3),'Material editor'!$D$11:$H$110,'Material editor'!$G$8,0)),VLOOKUP(LEFT(R217,3),'Material editor'!$D$11:$H$110,'Material editor'!$G$8,0),"")</f>
        <v/>
      </c>
      <c r="X217" s="137" t="str">
        <f>IF(ISNUMBER(VLOOKUP(LEFT(R217,3),'Material editor'!$D$11:$H$110,'Material editor'!$H$8,0)),VLOOKUP(LEFT(R217,3),'Material editor'!$D$11:$H$110,'Material editor'!$H$8,0),"")</f>
        <v/>
      </c>
      <c r="Y217" s="74"/>
      <c r="Z217" s="94"/>
      <c r="AA217" s="8"/>
      <c r="AB217" s="61"/>
      <c r="AC217" s="65"/>
      <c r="AD217" s="65"/>
      <c r="AE217" s="95">
        <f t="shared" si="152"/>
        <v>0</v>
      </c>
      <c r="AF217" s="95">
        <f t="shared" si="153"/>
        <v>0</v>
      </c>
      <c r="AG217" s="95">
        <f t="shared" si="154"/>
        <v>0</v>
      </c>
      <c r="AH217" s="65"/>
      <c r="AI217" s="95">
        <f t="shared" si="155"/>
        <v>0</v>
      </c>
      <c r="AJ217" s="95">
        <f t="shared" si="156"/>
        <v>0</v>
      </c>
      <c r="AK217" s="95">
        <f t="shared" si="157"/>
        <v>0</v>
      </c>
      <c r="AL217" s="65"/>
      <c r="AM217" s="96">
        <f t="shared" ref="AM217:AO217" si="165">AM216</f>
        <v>0.90400000000000003</v>
      </c>
      <c r="AN217" s="96">
        <f t="shared" si="165"/>
        <v>9.6000000000000002E-2</v>
      </c>
      <c r="AO217" s="96">
        <f t="shared" si="165"/>
        <v>0</v>
      </c>
      <c r="AP217" s="65">
        <f t="shared" si="158"/>
        <v>0</v>
      </c>
      <c r="AQ217" s="65"/>
      <c r="AR217" s="65"/>
      <c r="AS217" s="66"/>
      <c r="AT217" s="95">
        <f>IF(ISNUMBER(H217),H217*F217*Z217/1000*Balance!$H$13/J217,0)</f>
        <v>0</v>
      </c>
      <c r="AU217" s="95">
        <f>IF(ISTEXT(K217),IF(ISNUMBER(O217),O217*M217*Z217/1000*Balance!$H$13/Q217,0),AT217)</f>
        <v>0</v>
      </c>
      <c r="AV217" s="95">
        <f>IF(ISTEXT(R217),IF(ISNUMBER(V217),V217*T217*Z217/1000*Balance!$H$13/X217,0),AT217)</f>
        <v>0</v>
      </c>
      <c r="AW217" s="66"/>
      <c r="AX217" s="95">
        <f>AT217*AX210</f>
        <v>0</v>
      </c>
      <c r="AY217" s="95">
        <f>AU217*AY210</f>
        <v>0</v>
      </c>
      <c r="AZ217" s="95">
        <f>AV217*AZ210</f>
        <v>0</v>
      </c>
      <c r="BA217" s="95">
        <f t="shared" si="160"/>
        <v>0</v>
      </c>
      <c r="BB217" s="66"/>
      <c r="BC217" s="95">
        <f>IF(ISNUMBER(I217),I217*F217*Z217/1000*Balance!$H$13/J217,0)</f>
        <v>0</v>
      </c>
      <c r="BD217" s="95">
        <f>IF(ISTEXT(K217),IF(ISNUMBER(P217),P217*M217*Z217/1000*Balance!$H$13/Q217,0),BC217)</f>
        <v>0</v>
      </c>
      <c r="BE217" s="95">
        <f>IF(ISTEXT(R217),IF(ISNUMBER(W217),W217*T217*Z217/1000*Balance!$H$13/X217,0),BC217)</f>
        <v>0</v>
      </c>
      <c r="BF217" s="66"/>
      <c r="BG217" s="95">
        <f>BC217*BG210</f>
        <v>0</v>
      </c>
      <c r="BH217" s="95">
        <f>BD217*BH210</f>
        <v>0</v>
      </c>
      <c r="BI217" s="95">
        <f>BE217*BI210</f>
        <v>0</v>
      </c>
      <c r="BJ217" s="95">
        <f t="shared" si="161"/>
        <v>0</v>
      </c>
      <c r="BK217" s="66"/>
      <c r="BL217" s="66"/>
      <c r="BM217" s="66"/>
    </row>
    <row r="218" spans="1:65" outlineLevel="1" x14ac:dyDescent="0.25">
      <c r="A218" s="61"/>
      <c r="B218" s="272"/>
      <c r="C218" s="91"/>
      <c r="D218" s="418"/>
      <c r="E218" s="419"/>
      <c r="F218" s="94"/>
      <c r="G218" s="136" t="str">
        <f>IF(ISNUMBER(VLOOKUP(LEFT(D218,3),'Material editor'!$D$11:$H$110,'Material editor'!$E$8,0)),VLOOKUP(LEFT(D218,3),'Material editor'!$D$11:$H$110,'Material editor'!$E$8,0),"")</f>
        <v/>
      </c>
      <c r="H218" s="137" t="str">
        <f>IF(ISNUMBER(VLOOKUP(LEFT(D218,3),'Material editor'!$D$11:$H$110,'Material editor'!$F$8,0)),VLOOKUP(LEFT(D218,3),'Material editor'!$D$11:$H$110,'Material editor'!$F$8,0),"")</f>
        <v/>
      </c>
      <c r="I218" s="137" t="str">
        <f>IF(ISNUMBER(VLOOKUP(LEFT(D218,3),'Material editor'!$D$11:$H$110,'Material editor'!$G$8,0)),VLOOKUP(LEFT(D218,3),'Material editor'!$D$11:$H$110,'Material editor'!$G$8,0),"")</f>
        <v/>
      </c>
      <c r="J218" s="137" t="str">
        <f>IF(ISNUMBER(VLOOKUP(LEFT(D218,3),'Material editor'!$D$11:$H$110,'Material editor'!$H$8,0)),VLOOKUP(LEFT(D218,3),'Material editor'!$D$11:$H$110,'Material editor'!$H$8,0),"")</f>
        <v/>
      </c>
      <c r="K218" s="422"/>
      <c r="L218" s="419"/>
      <c r="M218" s="94"/>
      <c r="N218" s="136" t="str">
        <f>IF(ISNUMBER(VLOOKUP(LEFT(K218,3),'Material editor'!$D$11:$H$110,'Material editor'!$E$8,0)),VLOOKUP(LEFT(K218,3),'Material editor'!$D$11:$H$110,'Material editor'!$E$8,0),"")</f>
        <v/>
      </c>
      <c r="O218" s="137" t="str">
        <f>IF(ISNUMBER(VLOOKUP(LEFT(K218,3),'Material editor'!$D$11:$H$110,'Material editor'!$F$8,0)),VLOOKUP(LEFT(K218,3),'Material editor'!$D$11:$H$110,'Material editor'!$F$8,0),"")</f>
        <v/>
      </c>
      <c r="P218" s="137" t="str">
        <f>IF(ISNUMBER(VLOOKUP(LEFT(K218,3),'Material editor'!$D$11:$H$110,'Material editor'!$G$8,0)),VLOOKUP(LEFT(K218,3),'Material editor'!$D$11:$H$110,'Material editor'!$G$8,0),"")</f>
        <v/>
      </c>
      <c r="Q218" s="137" t="str">
        <f>IF(ISNUMBER(VLOOKUP(LEFT(K218,3),'Material editor'!$D$11:$H$110,'Material editor'!$H$8,0)),VLOOKUP(LEFT(K218,3),'Material editor'!$D$11:$H$110,'Material editor'!$H$8,0),"")</f>
        <v/>
      </c>
      <c r="R218" s="418"/>
      <c r="S218" s="407"/>
      <c r="T218" s="94"/>
      <c r="U218" s="136" t="str">
        <f>IF(ISNUMBER(VLOOKUP(LEFT(R218,3),'Material editor'!$D$11:$H$110,'Material editor'!$E$8,0)),VLOOKUP(LEFT(R218,3),'Material editor'!$D$11:$H$110,'Material editor'!$E$8,0),"")</f>
        <v/>
      </c>
      <c r="V218" s="137" t="str">
        <f>IF(ISNUMBER(VLOOKUP(LEFT(R218,3),'Material editor'!$D$11:$H$110,'Material editor'!$F$8,0)),VLOOKUP(LEFT(R218,3),'Material editor'!$D$11:$H$110,'Material editor'!$F$8,0),"")</f>
        <v/>
      </c>
      <c r="W218" s="137" t="str">
        <f>IF(ISNUMBER(VLOOKUP(LEFT(R218,3),'Material editor'!$D$11:$H$110,'Material editor'!$G$8,0)),VLOOKUP(LEFT(R218,3),'Material editor'!$D$11:$H$110,'Material editor'!$G$8,0),"")</f>
        <v/>
      </c>
      <c r="X218" s="137" t="str">
        <f>IF(ISNUMBER(VLOOKUP(LEFT(R218,3),'Material editor'!$D$11:$H$110,'Material editor'!$H$8,0)),VLOOKUP(LEFT(R218,3),'Material editor'!$D$11:$H$110,'Material editor'!$H$8,0),"")</f>
        <v/>
      </c>
      <c r="Y218" s="74"/>
      <c r="Z218" s="94"/>
      <c r="AA218" s="8"/>
      <c r="AB218" s="61"/>
      <c r="AC218" s="65"/>
      <c r="AD218" s="65"/>
      <c r="AE218" s="95">
        <f t="shared" si="152"/>
        <v>0</v>
      </c>
      <c r="AF218" s="95">
        <f t="shared" si="153"/>
        <v>0</v>
      </c>
      <c r="AG218" s="95">
        <f t="shared" si="154"/>
        <v>0</v>
      </c>
      <c r="AH218" s="65"/>
      <c r="AI218" s="95">
        <f t="shared" si="155"/>
        <v>0</v>
      </c>
      <c r="AJ218" s="95">
        <f t="shared" si="156"/>
        <v>0</v>
      </c>
      <c r="AK218" s="95">
        <f t="shared" si="157"/>
        <v>0</v>
      </c>
      <c r="AL218" s="65"/>
      <c r="AM218" s="96">
        <f t="shared" ref="AM218:AO218" si="166">AM217</f>
        <v>0.90400000000000003</v>
      </c>
      <c r="AN218" s="96">
        <f t="shared" si="166"/>
        <v>9.6000000000000002E-2</v>
      </c>
      <c r="AO218" s="96">
        <f t="shared" si="166"/>
        <v>0</v>
      </c>
      <c r="AP218" s="65">
        <f t="shared" si="158"/>
        <v>0</v>
      </c>
      <c r="AQ218" s="65"/>
      <c r="AR218" s="65"/>
      <c r="AS218" s="66"/>
      <c r="AT218" s="95">
        <f>IF(ISNUMBER(H218),H218*F218*Z218/1000*Balance!$H$13/J218,0)</f>
        <v>0</v>
      </c>
      <c r="AU218" s="95">
        <f>IF(ISTEXT(K218),IF(ISNUMBER(O218),O218*M218*Z218/1000*Balance!$H$13/Q218,0),AT218)</f>
        <v>0</v>
      </c>
      <c r="AV218" s="95">
        <f>IF(ISTEXT(R218),IF(ISNUMBER(V218),V218*T218*Z218/1000*Balance!$H$13/X218,0),AT218)</f>
        <v>0</v>
      </c>
      <c r="AW218" s="66"/>
      <c r="AX218" s="95">
        <f>AT218*AX210</f>
        <v>0</v>
      </c>
      <c r="AY218" s="95">
        <f>AU218*AY210</f>
        <v>0</v>
      </c>
      <c r="AZ218" s="95">
        <f>AV218*AZ210</f>
        <v>0</v>
      </c>
      <c r="BA218" s="95">
        <f t="shared" si="160"/>
        <v>0</v>
      </c>
      <c r="BB218" s="66"/>
      <c r="BC218" s="95">
        <f>IF(ISNUMBER(I218),I218*F218*Z218/1000*Balance!$H$13/J218,0)</f>
        <v>0</v>
      </c>
      <c r="BD218" s="95">
        <f>IF(ISTEXT(K218),IF(ISNUMBER(P218),P218*M218*Z218/1000*Balance!$H$13/Q218,0),BC218)</f>
        <v>0</v>
      </c>
      <c r="BE218" s="95">
        <f>IF(ISTEXT(R218),IF(ISNUMBER(W218),W218*T218*Z218/1000*Balance!$H$13/X218,0),BC218)</f>
        <v>0</v>
      </c>
      <c r="BF218" s="66"/>
      <c r="BG218" s="95">
        <f>BC218*BG210</f>
        <v>0</v>
      </c>
      <c r="BH218" s="95">
        <f>BD218*BH210</f>
        <v>0</v>
      </c>
      <c r="BI218" s="95">
        <f>BE218*BI210</f>
        <v>0</v>
      </c>
      <c r="BJ218" s="95">
        <f t="shared" si="161"/>
        <v>0</v>
      </c>
      <c r="BK218" s="66"/>
      <c r="BL218" s="66"/>
      <c r="BM218" s="66"/>
    </row>
    <row r="219" spans="1:65" outlineLevel="1" x14ac:dyDescent="0.25">
      <c r="A219" s="61"/>
      <c r="B219" s="272"/>
      <c r="C219" s="91"/>
      <c r="D219" s="420"/>
      <c r="E219" s="421"/>
      <c r="F219" s="94"/>
      <c r="G219" s="136" t="str">
        <f>IF(ISNUMBER(VLOOKUP(LEFT(D219,3),'Material editor'!$D$11:$H$110,'Material editor'!$E$8,0)),VLOOKUP(LEFT(D219,3),'Material editor'!$D$11:$H$110,'Material editor'!$E$8,0),"")</f>
        <v/>
      </c>
      <c r="H219" s="137" t="str">
        <f>IF(ISNUMBER(VLOOKUP(LEFT(D219,3),'Material editor'!$D$11:$H$110,'Material editor'!$F$8,0)),VLOOKUP(LEFT(D219,3),'Material editor'!$D$11:$H$110,'Material editor'!$F$8,0),"")</f>
        <v/>
      </c>
      <c r="I219" s="137" t="str">
        <f>IF(ISNUMBER(VLOOKUP(LEFT(D219,3),'Material editor'!$D$11:$H$110,'Material editor'!$G$8,0)),VLOOKUP(LEFT(D219,3),'Material editor'!$D$11:$H$110,'Material editor'!$G$8,0),"")</f>
        <v/>
      </c>
      <c r="J219" s="137" t="str">
        <f>IF(ISNUMBER(VLOOKUP(LEFT(D219,3),'Material editor'!$D$11:$H$110,'Material editor'!$H$8,0)),VLOOKUP(LEFT(D219,3),'Material editor'!$D$11:$H$110,'Material editor'!$H$8,0),"")</f>
        <v/>
      </c>
      <c r="K219" s="422"/>
      <c r="L219" s="419"/>
      <c r="M219" s="94"/>
      <c r="N219" s="136" t="str">
        <f>IF(ISNUMBER(VLOOKUP(LEFT(K219,3),'Material editor'!$D$11:$H$110,'Material editor'!$E$8,0)),VLOOKUP(LEFT(K219,3),'Material editor'!$D$11:$H$110,'Material editor'!$E$8,0),"")</f>
        <v/>
      </c>
      <c r="O219" s="137" t="str">
        <f>IF(ISNUMBER(VLOOKUP(LEFT(K219,3),'Material editor'!$D$11:$H$110,'Material editor'!$F$8,0)),VLOOKUP(LEFT(K219,3),'Material editor'!$D$11:$H$110,'Material editor'!$F$8,0),"")</f>
        <v/>
      </c>
      <c r="P219" s="137" t="str">
        <f>IF(ISNUMBER(VLOOKUP(LEFT(K219,3),'Material editor'!$D$11:$H$110,'Material editor'!$G$8,0)),VLOOKUP(LEFT(K219,3),'Material editor'!$D$11:$H$110,'Material editor'!$G$8,0),"")</f>
        <v/>
      </c>
      <c r="Q219" s="137" t="str">
        <f>IF(ISNUMBER(VLOOKUP(LEFT(K219,3),'Material editor'!$D$11:$H$110,'Material editor'!$H$8,0)),VLOOKUP(LEFT(K219,3),'Material editor'!$D$11:$H$110,'Material editor'!$H$8,0),"")</f>
        <v/>
      </c>
      <c r="R219" s="418"/>
      <c r="S219" s="407"/>
      <c r="T219" s="94"/>
      <c r="U219" s="136" t="str">
        <f>IF(ISNUMBER(VLOOKUP(LEFT(R219,3),'Material editor'!$D$11:$H$110,'Material editor'!$E$8,0)),VLOOKUP(LEFT(R219,3),'Material editor'!$D$11:$H$110,'Material editor'!$E$8,0),"")</f>
        <v/>
      </c>
      <c r="V219" s="137" t="str">
        <f>IF(ISNUMBER(VLOOKUP(LEFT(R219,3),'Material editor'!$D$11:$H$110,'Material editor'!$F$8,0)),VLOOKUP(LEFT(R219,3),'Material editor'!$D$11:$H$110,'Material editor'!$F$8,0),"")</f>
        <v/>
      </c>
      <c r="W219" s="137" t="str">
        <f>IF(ISNUMBER(VLOOKUP(LEFT(R219,3),'Material editor'!$D$11:$H$110,'Material editor'!$G$8,0)),VLOOKUP(LEFT(R219,3),'Material editor'!$D$11:$H$110,'Material editor'!$G$8,0),"")</f>
        <v/>
      </c>
      <c r="X219" s="137" t="str">
        <f>IF(ISNUMBER(VLOOKUP(LEFT(R219,3),'Material editor'!$D$11:$H$110,'Material editor'!$H$8,0)),VLOOKUP(LEFT(R219,3),'Material editor'!$D$11:$H$110,'Material editor'!$H$8,0),"")</f>
        <v/>
      </c>
      <c r="Y219" s="74"/>
      <c r="Z219" s="94"/>
      <c r="AA219" s="8"/>
      <c r="AB219" s="61"/>
      <c r="AC219" s="65"/>
      <c r="AD219" s="65"/>
      <c r="AE219" s="95">
        <f t="shared" si="152"/>
        <v>0</v>
      </c>
      <c r="AF219" s="95">
        <f t="shared" si="153"/>
        <v>0</v>
      </c>
      <c r="AG219" s="95">
        <f t="shared" si="154"/>
        <v>0</v>
      </c>
      <c r="AH219" s="65"/>
      <c r="AI219" s="95">
        <f>IF(ISNUMBER(G219),G219,0)</f>
        <v>0</v>
      </c>
      <c r="AJ219" s="95">
        <f t="shared" si="156"/>
        <v>0</v>
      </c>
      <c r="AK219" s="95">
        <f t="shared" si="157"/>
        <v>0</v>
      </c>
      <c r="AL219" s="65"/>
      <c r="AM219" s="96">
        <f t="shared" ref="AM219:AO219" si="167">AM218</f>
        <v>0.90400000000000003</v>
      </c>
      <c r="AN219" s="96">
        <f t="shared" si="167"/>
        <v>9.6000000000000002E-2</v>
      </c>
      <c r="AO219" s="96">
        <f t="shared" si="167"/>
        <v>0</v>
      </c>
      <c r="AP219" s="65">
        <f t="shared" si="158"/>
        <v>0</v>
      </c>
      <c r="AQ219" s="65"/>
      <c r="AR219" s="65"/>
      <c r="AS219" s="66"/>
      <c r="AT219" s="95">
        <f>IF(ISNUMBER(H219),H219*F219*Z219/1000*Balance!$H$13/J219,0)</f>
        <v>0</v>
      </c>
      <c r="AU219" s="95">
        <f>IF(ISTEXT(K219),IF(ISNUMBER(O219),O219*M219*Z219/1000*Balance!$H$13/Q219,0),AT219)</f>
        <v>0</v>
      </c>
      <c r="AV219" s="95">
        <f>IF(ISTEXT(R219),IF(ISNUMBER(V219),V219*T219*Z219/1000*Balance!$H$13/X219,0),AT219)</f>
        <v>0</v>
      </c>
      <c r="AW219" s="66"/>
      <c r="AX219" s="95">
        <f>AT219*AX210</f>
        <v>0</v>
      </c>
      <c r="AY219" s="95">
        <f>AU219*AY210</f>
        <v>0</v>
      </c>
      <c r="AZ219" s="95">
        <f>AV219*AZ210</f>
        <v>0</v>
      </c>
      <c r="BA219" s="95">
        <f t="shared" si="160"/>
        <v>0</v>
      </c>
      <c r="BB219" s="66"/>
      <c r="BC219" s="95">
        <f>IF(ISNUMBER(I219),I219*F219*Z219/1000*Balance!$H$13/J219,0)</f>
        <v>0</v>
      </c>
      <c r="BD219" s="95">
        <f>IF(ISTEXT(K219),IF(ISNUMBER(P219),P219*M219*Z219/1000*Balance!$H$13/Q219,0),BC219)</f>
        <v>0</v>
      </c>
      <c r="BE219" s="95">
        <f>IF(ISTEXT(R219),IF(ISNUMBER(W219),W219*T219*Z219/1000*Balance!$H$13/X219,0),BC219)</f>
        <v>0</v>
      </c>
      <c r="BF219" s="66"/>
      <c r="BG219" s="95">
        <f>BC219*BG210</f>
        <v>0</v>
      </c>
      <c r="BH219" s="95">
        <f>BD219*BH210</f>
        <v>0</v>
      </c>
      <c r="BI219" s="95">
        <f>BE219*BI210</f>
        <v>0</v>
      </c>
      <c r="BJ219" s="95">
        <f t="shared" si="161"/>
        <v>0</v>
      </c>
      <c r="BK219" s="66"/>
      <c r="BL219" s="66"/>
      <c r="BM219" s="66"/>
    </row>
    <row r="220" spans="1:65" outlineLevel="1" x14ac:dyDescent="0.25">
      <c r="A220" s="61"/>
      <c r="B220" s="272"/>
      <c r="C220" s="77"/>
      <c r="D220" s="125">
        <f>MAX(0,1-K220-R220)</f>
        <v>0.90400000000000003</v>
      </c>
      <c r="E220" s="360" t="s">
        <v>141</v>
      </c>
      <c r="F220" s="126"/>
      <c r="H220" s="97"/>
      <c r="I220" s="97"/>
      <c r="J220" s="97"/>
      <c r="K220" s="100">
        <f>6/62.5</f>
        <v>9.6000000000000002E-2</v>
      </c>
      <c r="L220" s="126" t="s">
        <v>138</v>
      </c>
      <c r="M220" s="126"/>
      <c r="R220" s="100"/>
      <c r="S220" s="126" t="s">
        <v>139</v>
      </c>
      <c r="T220" s="126"/>
      <c r="V220" s="67"/>
      <c r="Y220" s="74"/>
      <c r="Z220" s="5" t="s">
        <v>140</v>
      </c>
      <c r="AA220" s="8"/>
      <c r="AB220" s="61"/>
      <c r="AC220" s="98"/>
      <c r="AD220" s="98" t="s">
        <v>124</v>
      </c>
      <c r="AE220" s="99">
        <f>IF(ISNUMBER($G212),1/($D207+SUM(AE212:AE219)+$D208),0)</f>
        <v>0.13023007312919493</v>
      </c>
      <c r="AF220" s="99">
        <f>IF(ISNUMBER($G212),1/($D207+SUM(AF212:AF219)+$D208),0)</f>
        <v>0.2836982614388594</v>
      </c>
      <c r="AG220" s="99">
        <f>IF(ISNUMBER($G212),1/($D207+SUM(AG212:AG219)+$D208),0)</f>
        <v>0.13023007312919493</v>
      </c>
      <c r="AH220" s="65"/>
      <c r="AI220" s="65"/>
      <c r="AJ220" s="65"/>
      <c r="AK220" s="65"/>
      <c r="AL220" s="65"/>
      <c r="AM220" s="65"/>
      <c r="AN220" s="65"/>
      <c r="AO220" s="65"/>
      <c r="AP220" s="65"/>
      <c r="AQ220" s="65"/>
      <c r="AR220" s="65"/>
      <c r="AS220" s="66"/>
      <c r="AT220" s="66"/>
      <c r="AU220" s="66"/>
      <c r="AV220" s="66"/>
      <c r="AW220" s="66"/>
      <c r="AX220" s="66"/>
      <c r="AY220" s="66"/>
      <c r="AZ220" s="66"/>
      <c r="BA220" s="66"/>
      <c r="BB220" s="66"/>
      <c r="BC220" s="66"/>
      <c r="BD220" s="66"/>
      <c r="BE220" s="66"/>
      <c r="BF220" s="66"/>
      <c r="BG220" s="66"/>
      <c r="BH220" s="66"/>
      <c r="BI220" s="66"/>
      <c r="BJ220" s="66"/>
      <c r="BK220" s="66"/>
      <c r="BL220" s="66"/>
      <c r="BM220" s="66"/>
    </row>
    <row r="221" spans="1:65" outlineLevel="1" x14ac:dyDescent="0.25">
      <c r="A221" s="61"/>
      <c r="B221" s="272"/>
      <c r="C221" s="77"/>
      <c r="D221" s="41"/>
      <c r="E221" s="116" t="s">
        <v>150</v>
      </c>
      <c r="F221" s="116"/>
      <c r="H221" s="68"/>
      <c r="I221" s="68"/>
      <c r="J221" s="68"/>
      <c r="K221" s="157" t="str">
        <f>IF(AE227&lt;=0.1,"","Der Fehler der U-Wert-Berechnung liegt möglicherweise über 10 %. Wärmebrückenberechnung?")</f>
        <v/>
      </c>
      <c r="L221" s="68"/>
      <c r="M221" s="68"/>
      <c r="N221" s="68"/>
      <c r="R221" s="5"/>
      <c r="S221" s="5"/>
      <c r="T221" s="5"/>
      <c r="U221" s="68"/>
      <c r="V221" s="68"/>
      <c r="X221" s="68"/>
      <c r="Y221" s="5"/>
      <c r="Z221" s="189">
        <f>IF(ISNUMBER(Z212),SUM(Z212:Z220)/10,"")</f>
        <v>34.5</v>
      </c>
      <c r="AA221" s="10" t="s">
        <v>8</v>
      </c>
      <c r="AB221" s="61"/>
      <c r="AC221" s="98"/>
      <c r="AD221" s="98" t="s">
        <v>125</v>
      </c>
      <c r="AE221" s="101">
        <f>1-SUM(AF221:AG221)</f>
        <v>0.90400000000000003</v>
      </c>
      <c r="AF221" s="102">
        <f>K220</f>
        <v>9.6000000000000002E-2</v>
      </c>
      <c r="AG221" s="102">
        <f>R220</f>
        <v>0</v>
      </c>
      <c r="AH221" s="98"/>
      <c r="AI221" s="65"/>
      <c r="AJ221" s="65"/>
      <c r="AK221" s="65"/>
      <c r="AL221" s="65"/>
      <c r="AM221" s="65"/>
      <c r="AN221" s="65"/>
      <c r="AO221" s="65"/>
      <c r="AP221" s="65"/>
      <c r="AQ221" s="65"/>
      <c r="AR221" s="65" t="s">
        <v>393</v>
      </c>
      <c r="AS221" s="148"/>
      <c r="AT221" s="175" t="s">
        <v>393</v>
      </c>
      <c r="AU221" s="65" t="s">
        <v>366</v>
      </c>
      <c r="AV221" s="65" t="s">
        <v>355</v>
      </c>
      <c r="AW221" s="66"/>
      <c r="AX221" s="65" t="s">
        <v>394</v>
      </c>
      <c r="AY221" s="65" t="s">
        <v>356</v>
      </c>
      <c r="AZ221" s="66"/>
      <c r="BA221" s="66"/>
      <c r="BB221" s="66"/>
      <c r="BC221" s="66"/>
      <c r="BD221" s="66"/>
      <c r="BE221" s="66"/>
      <c r="BF221" s="66"/>
      <c r="BG221" s="66"/>
      <c r="BH221" s="66"/>
      <c r="BI221" s="66"/>
      <c r="BJ221" s="66"/>
      <c r="BK221" s="66"/>
      <c r="BL221" s="66"/>
      <c r="BM221" s="66"/>
    </row>
    <row r="222" spans="1:65" outlineLevel="1" x14ac:dyDescent="0.25">
      <c r="A222" s="61"/>
      <c r="B222" s="272"/>
      <c r="C222" s="77"/>
      <c r="D222" s="68"/>
      <c r="E222" s="68"/>
      <c r="F222" s="68"/>
      <c r="G222" s="68"/>
      <c r="H222" s="68"/>
      <c r="I222" s="68"/>
      <c r="J222" s="68"/>
      <c r="K222" s="68"/>
      <c r="L222" s="68"/>
      <c r="M222" s="68"/>
      <c r="N222" s="68"/>
      <c r="O222" s="68"/>
      <c r="P222" s="68"/>
      <c r="Q222" s="68"/>
      <c r="R222" s="68"/>
      <c r="T222" s="68"/>
      <c r="U222" s="68"/>
      <c r="V222" s="68"/>
      <c r="W222" s="68"/>
      <c r="X222" s="68"/>
      <c r="Y222" s="5"/>
      <c r="Z222" s="67"/>
      <c r="AA222" s="8"/>
      <c r="AB222" s="61"/>
      <c r="AC222" s="101"/>
      <c r="AD222" s="101"/>
      <c r="AE222" s="99"/>
      <c r="AF222" s="99"/>
      <c r="AG222" s="99"/>
      <c r="AH222" s="65"/>
      <c r="AI222" s="65"/>
      <c r="AJ222" s="65"/>
      <c r="AK222" s="65"/>
      <c r="AL222" s="65"/>
      <c r="AM222" s="65"/>
      <c r="AN222" s="65"/>
      <c r="AO222" s="65"/>
      <c r="AP222" s="65"/>
      <c r="AQ222" s="65"/>
      <c r="AR222" s="65"/>
      <c r="AS222" s="65"/>
      <c r="AT222" s="101" t="s">
        <v>367</v>
      </c>
      <c r="AU222" s="176">
        <f>Z223*F207*Balance!$H$6</f>
        <v>11.693967787657581</v>
      </c>
      <c r="AV222" s="176">
        <f>AU222*Balance!$H$13</f>
        <v>233.87935575315163</v>
      </c>
      <c r="AW222" s="66"/>
      <c r="AX222" s="66"/>
      <c r="AY222" s="66"/>
      <c r="AZ222" s="66"/>
      <c r="BA222" s="101" t="s">
        <v>351</v>
      </c>
      <c r="BB222" s="66"/>
      <c r="BC222" s="66"/>
      <c r="BD222" s="66"/>
      <c r="BE222" s="66"/>
      <c r="BF222" s="66"/>
      <c r="BG222" s="66"/>
      <c r="BH222" s="66"/>
      <c r="BI222" s="66"/>
      <c r="BJ222" s="66"/>
      <c r="BK222" s="66"/>
      <c r="BL222" s="66"/>
      <c r="BM222" s="66"/>
    </row>
    <row r="223" spans="1:65" ht="18" outlineLevel="1" x14ac:dyDescent="0.35">
      <c r="A223" s="61"/>
      <c r="B223" s="272"/>
      <c r="C223" s="77"/>
      <c r="H223" s="68"/>
      <c r="I223" s="68"/>
      <c r="J223" s="67"/>
      <c r="K223" s="192" t="s">
        <v>397</v>
      </c>
      <c r="L223" s="67"/>
      <c r="M223" s="67"/>
      <c r="N223" s="67"/>
      <c r="O223" s="67"/>
      <c r="P223" s="67"/>
      <c r="Q223" s="67"/>
      <c r="R223" s="14" t="s">
        <v>398</v>
      </c>
      <c r="U223" s="68"/>
      <c r="V223" s="68"/>
      <c r="W223" s="68"/>
      <c r="X223" s="68"/>
      <c r="Y223" s="127" t="s">
        <v>154</v>
      </c>
      <c r="Z223" s="193">
        <f>IF(ISNUMBER(G212),IF(AE227&lt;0.1,1/AE223,1/(AP223*1.1))+D221,"")</f>
        <v>0.14802490870452634</v>
      </c>
      <c r="AA223" s="8" t="s">
        <v>10</v>
      </c>
      <c r="AB223" s="61"/>
      <c r="AC223" s="101"/>
      <c r="AD223" s="101" t="s">
        <v>126</v>
      </c>
      <c r="AE223" s="95">
        <f>IF(ISNUMBER(G212),AVERAGE(AG223,AP223),0)</f>
        <v>6.7556197720486875</v>
      </c>
      <c r="AF223" s="101" t="s">
        <v>127</v>
      </c>
      <c r="AG223" s="95">
        <f>IF(ISNUMBER(G212),1/SUMPRODUCT(AE221:AG221,AE220:AG220),0)</f>
        <v>6.8983110690636389</v>
      </c>
      <c r="AH223" s="65"/>
      <c r="AI223" s="65"/>
      <c r="AJ223" s="65"/>
      <c r="AK223" s="65"/>
      <c r="AL223" s="103"/>
      <c r="AM223" s="65"/>
      <c r="AN223" s="65"/>
      <c r="AO223" s="101" t="s">
        <v>128</v>
      </c>
      <c r="AP223" s="95">
        <f>$D207+SUM(AP212:AP219)+$D208</f>
        <v>6.6129284750337369</v>
      </c>
      <c r="AQ223" s="65"/>
      <c r="AR223" s="65"/>
      <c r="AS223" s="152" t="str">
        <f>Data!$D$4</f>
        <v>Heat pump</v>
      </c>
      <c r="AT223" s="177" t="s">
        <v>374</v>
      </c>
      <c r="AU223" s="179">
        <f>AU222/(Balance!$H$17*Balance!$H$18*Balance!$H$19)*Balance!$H$22</f>
        <v>7.7959785251050535</v>
      </c>
      <c r="AV223" s="176">
        <f>AU223*Balance!$H$13</f>
        <v>155.91957050210107</v>
      </c>
      <c r="AW223" s="66"/>
      <c r="AX223" s="186">
        <f ca="1">AU222/(Balance!$H$17*Balance!$H$18*Balance!$H$19)*Balance!$G$22/1000</f>
        <v>1.4725737214087324</v>
      </c>
      <c r="AY223" s="176">
        <f ca="1">AX223*Balance!$H$13</f>
        <v>29.451474428174649</v>
      </c>
      <c r="AZ223" s="101"/>
      <c r="BA223" s="95">
        <f>SUM(BA212:BA219)</f>
        <v>58.706432687464485</v>
      </c>
      <c r="BB223" s="66" t="s">
        <v>355</v>
      </c>
      <c r="BC223" s="66"/>
      <c r="BD223" s="66"/>
      <c r="BE223" s="66"/>
      <c r="BF223" s="66"/>
      <c r="BG223" s="66"/>
      <c r="BH223" s="66"/>
      <c r="BI223" s="101" t="s">
        <v>149</v>
      </c>
      <c r="BJ223" s="95">
        <f>SUM(BJ212:BJ219)</f>
        <v>-14.279753890180361</v>
      </c>
      <c r="BK223" s="66" t="s">
        <v>357</v>
      </c>
      <c r="BL223" s="66"/>
      <c r="BM223" s="66"/>
    </row>
    <row r="224" spans="1:65" ht="15.75" outlineLevel="1" x14ac:dyDescent="0.25">
      <c r="A224" s="61"/>
      <c r="B224" s="272"/>
      <c r="C224" s="77"/>
      <c r="D224" s="155"/>
      <c r="E224" s="188" t="s">
        <v>395</v>
      </c>
      <c r="F224" s="116"/>
      <c r="H224" s="68"/>
      <c r="I224" s="68"/>
      <c r="J224" s="67"/>
      <c r="K224" s="190">
        <f>BA223</f>
        <v>58.706432687464485</v>
      </c>
      <c r="L224" s="128" t="s">
        <v>400</v>
      </c>
      <c r="M224" s="67"/>
      <c r="N224" s="67"/>
      <c r="O224" s="67"/>
      <c r="P224" s="67"/>
      <c r="Q224" s="67"/>
      <c r="R224" s="190">
        <f>BJ223</f>
        <v>-14.279753890180361</v>
      </c>
      <c r="S224" s="128" t="s">
        <v>399</v>
      </c>
      <c r="U224" s="68"/>
      <c r="V224" s="68"/>
      <c r="W224" s="68"/>
      <c r="X224" s="68"/>
      <c r="Y224" s="67"/>
      <c r="Z224" s="67"/>
      <c r="AA224" s="8"/>
      <c r="AB224" s="61"/>
      <c r="AC224" s="101"/>
      <c r="AD224" s="101"/>
      <c r="AE224" s="154"/>
      <c r="AF224" s="101"/>
      <c r="AG224" s="154"/>
      <c r="AH224" s="65"/>
      <c r="AI224" s="65"/>
      <c r="AJ224" s="65"/>
      <c r="AK224" s="65"/>
      <c r="AL224" s="103"/>
      <c r="AM224" s="65"/>
      <c r="AN224" s="65"/>
      <c r="AO224" s="101"/>
      <c r="AP224" s="154"/>
      <c r="AQ224" s="65"/>
      <c r="AR224" s="65"/>
      <c r="AS224" s="152" t="str">
        <f>Data!$D$5</f>
        <v>Direct electric</v>
      </c>
      <c r="AT224" s="177" t="s">
        <v>374</v>
      </c>
      <c r="AU224" s="179">
        <f>AU222/Balance!$H$18*Balance!$H$22</f>
        <v>21.049142017783645</v>
      </c>
      <c r="AV224" s="176">
        <f>AU224*Balance!$H$13</f>
        <v>420.98284035567292</v>
      </c>
      <c r="AW224" s="66"/>
      <c r="AX224" s="186">
        <f ca="1">AU222/Balance!$H$18*Balance!$G$22/1000</f>
        <v>3.9759490478035775</v>
      </c>
      <c r="AY224" s="176">
        <f ca="1">AX224*Balance!$H$13</f>
        <v>79.518980956071545</v>
      </c>
      <c r="AZ224" s="101"/>
      <c r="BA224" s="154"/>
      <c r="BB224" s="66"/>
      <c r="BC224" s="66"/>
      <c r="BD224" s="66"/>
      <c r="BE224" s="66"/>
      <c r="BF224" s="66"/>
      <c r="BG224" s="66"/>
      <c r="BH224" s="66"/>
      <c r="BI224" s="101"/>
      <c r="BJ224" s="154"/>
      <c r="BK224" s="66"/>
      <c r="BL224" s="66"/>
      <c r="BM224" s="66"/>
    </row>
    <row r="225" spans="1:65" ht="15.75" outlineLevel="1" x14ac:dyDescent="0.25">
      <c r="A225" s="61"/>
      <c r="B225" s="272"/>
      <c r="C225" s="77"/>
      <c r="D225" s="155"/>
      <c r="E225" s="188" t="s">
        <v>396</v>
      </c>
      <c r="F225" s="116"/>
      <c r="H225" s="68"/>
      <c r="I225" s="68"/>
      <c r="J225" s="67"/>
      <c r="K225" s="190">
        <f>AV227</f>
        <v>155.91957050210107</v>
      </c>
      <c r="L225" s="128" t="s">
        <v>401</v>
      </c>
      <c r="M225" s="67"/>
      <c r="N225" s="67"/>
      <c r="O225" s="67"/>
      <c r="P225" s="67"/>
      <c r="Q225" s="67"/>
      <c r="R225" s="190">
        <f ca="1">AY227</f>
        <v>29.451474428174649</v>
      </c>
      <c r="S225" s="128" t="s">
        <v>358</v>
      </c>
      <c r="U225" s="68"/>
      <c r="V225" s="68"/>
      <c r="W225" s="68"/>
      <c r="X225" s="68"/>
      <c r="Y225" s="67"/>
      <c r="Z225" s="67"/>
      <c r="AA225" s="8"/>
      <c r="AB225" s="61"/>
      <c r="AC225" s="101"/>
      <c r="AD225" s="101"/>
      <c r="AE225" s="154"/>
      <c r="AF225" s="101"/>
      <c r="AG225" s="154"/>
      <c r="AH225" s="65"/>
      <c r="AI225" s="65"/>
      <c r="AJ225" s="65"/>
      <c r="AK225" s="65"/>
      <c r="AL225" s="103"/>
      <c r="AM225" s="65"/>
      <c r="AN225" s="65"/>
      <c r="AO225" s="101"/>
      <c r="AP225" s="154"/>
      <c r="AQ225" s="65"/>
      <c r="AR225" s="65"/>
      <c r="AS225" s="152" t="str">
        <f>Data!$D$6</f>
        <v>Gas boiler</v>
      </c>
      <c r="AT225" s="177" t="s">
        <v>374</v>
      </c>
      <c r="AU225" s="179">
        <f>AU222/(Balance!$H$18*Balance!$H$19)*Balance!H$23</f>
        <v>22.738270698223072</v>
      </c>
      <c r="AV225" s="176">
        <f>AU225*Balance!$H$13</f>
        <v>454.76541396446146</v>
      </c>
      <c r="AW225" s="66"/>
      <c r="AX225" s="186">
        <f ca="1">AU222/(Balance!$H$18*Balance!$H$19)*Balance!$G$23/1000</f>
        <v>3.2405902797807697</v>
      </c>
      <c r="AY225" s="176">
        <f ca="1">AX225*Balance!$H$13</f>
        <v>64.811805595615397</v>
      </c>
      <c r="AZ225" s="101"/>
      <c r="BA225" s="154"/>
      <c r="BB225" s="66"/>
      <c r="BC225" s="66"/>
      <c r="BD225" s="66"/>
      <c r="BE225" s="66"/>
      <c r="BF225" s="66"/>
      <c r="BG225" s="66"/>
      <c r="BH225" s="66"/>
      <c r="BI225" s="101"/>
      <c r="BJ225" s="154"/>
      <c r="BK225" s="66"/>
      <c r="BL225" s="66"/>
      <c r="BM225" s="66"/>
    </row>
    <row r="226" spans="1:65" ht="15.75" outlineLevel="1" x14ac:dyDescent="0.25">
      <c r="A226" s="61"/>
      <c r="B226" s="272"/>
      <c r="C226" s="77"/>
      <c r="D226" s="155"/>
      <c r="E226" s="188" t="s">
        <v>352</v>
      </c>
      <c r="F226" s="116"/>
      <c r="H226" s="68"/>
      <c r="I226" s="68"/>
      <c r="J226" s="67"/>
      <c r="K226" s="191">
        <f>K225+K224</f>
        <v>214.62600318956555</v>
      </c>
      <c r="L226" s="128" t="s">
        <v>355</v>
      </c>
      <c r="M226" s="67"/>
      <c r="N226" s="67"/>
      <c r="O226" s="67"/>
      <c r="P226" s="67"/>
      <c r="Q226" s="67"/>
      <c r="R226" s="191">
        <f ca="1">R225+R224</f>
        <v>15.171720537994288</v>
      </c>
      <c r="S226" s="128" t="s">
        <v>358</v>
      </c>
      <c r="T226" s="153"/>
      <c r="U226" s="68"/>
      <c r="V226" s="68"/>
      <c r="W226" s="68"/>
      <c r="X226" s="68"/>
      <c r="Y226" s="67"/>
      <c r="Z226" s="67"/>
      <c r="AA226" s="8"/>
      <c r="AB226" s="61"/>
      <c r="AC226" s="101"/>
      <c r="AD226" s="101"/>
      <c r="AE226" s="154"/>
      <c r="AF226" s="101"/>
      <c r="AG226" s="154"/>
      <c r="AH226" s="65"/>
      <c r="AI226" s="65"/>
      <c r="AJ226" s="65"/>
      <c r="AK226" s="65"/>
      <c r="AL226" s="103"/>
      <c r="AM226" s="65"/>
      <c r="AN226" s="65"/>
      <c r="AO226" s="101"/>
      <c r="AP226" s="154"/>
      <c r="AQ226" s="65"/>
      <c r="AR226" s="65"/>
      <c r="AS226" s="152" t="str">
        <f>Data!$D$7</f>
        <v>Biomass</v>
      </c>
      <c r="AT226" s="177" t="s">
        <v>374</v>
      </c>
      <c r="AU226" s="179">
        <f>AU222/(Balance!$H$18*Balance!$H$19)*Balance!$H$24</f>
        <v>14.292627296025932</v>
      </c>
      <c r="AV226" s="176">
        <f>AU226*Balance!$H$13</f>
        <v>285.85254592051865</v>
      </c>
      <c r="AW226" s="66"/>
      <c r="AX226" s="186">
        <f ca="1">AU222/(Balance!$H$18*Balance!$H$19)*Balance!$G$24/1000</f>
        <v>0.27610757276413733</v>
      </c>
      <c r="AY226" s="176">
        <f ca="1">AX226*Balance!$H$13</f>
        <v>5.5221514552827466</v>
      </c>
      <c r="AZ226" s="101"/>
      <c r="BA226" s="154"/>
      <c r="BB226" s="66"/>
      <c r="BC226" s="66"/>
      <c r="BD226" s="66"/>
      <c r="BE226" s="66"/>
      <c r="BF226" s="66"/>
      <c r="BG226" s="66"/>
      <c r="BH226" s="66"/>
      <c r="BI226" s="101"/>
      <c r="BJ226" s="154"/>
      <c r="BK226" s="66"/>
      <c r="BL226" s="66"/>
      <c r="BM226" s="66"/>
    </row>
    <row r="227" spans="1:65" outlineLevel="1" x14ac:dyDescent="0.25">
      <c r="A227" s="61"/>
      <c r="B227" s="272"/>
      <c r="C227" s="104"/>
      <c r="D227" s="105"/>
      <c r="E227" s="106"/>
      <c r="F227" s="106"/>
      <c r="G227" s="106"/>
      <c r="H227" s="107"/>
      <c r="I227" s="107"/>
      <c r="J227" s="107"/>
      <c r="K227" s="106"/>
      <c r="L227" s="106"/>
      <c r="M227" s="106"/>
      <c r="N227" s="106"/>
      <c r="O227" s="106"/>
      <c r="P227" s="106"/>
      <c r="Q227" s="106"/>
      <c r="R227" s="106"/>
      <c r="S227" s="106"/>
      <c r="T227" s="106"/>
      <c r="U227" s="106"/>
      <c r="V227" s="106"/>
      <c r="W227" s="106"/>
      <c r="X227" s="106"/>
      <c r="Y227" s="106"/>
      <c r="Z227" s="108"/>
      <c r="AA227" s="109"/>
      <c r="AB227" s="61"/>
      <c r="AC227" s="101"/>
      <c r="AD227" s="101" t="s">
        <v>129</v>
      </c>
      <c r="AE227" s="110">
        <f>IF(ISNUMBER(G212),(AG223-AP223)/(2*AE223),0)</f>
        <v>2.1121866213568572E-2</v>
      </c>
      <c r="AF227" s="111"/>
      <c r="AG227" s="65"/>
      <c r="AH227" s="101"/>
      <c r="AI227" s="65"/>
      <c r="AJ227" s="65"/>
      <c r="AK227" s="65"/>
      <c r="AL227" s="65"/>
      <c r="AM227" s="65"/>
      <c r="AN227" s="65"/>
      <c r="AO227" s="65"/>
      <c r="AP227" s="66"/>
      <c r="AQ227" s="65"/>
      <c r="AR227" s="65"/>
      <c r="AS227" s="178" t="str">
        <f>Balance!$G$16</f>
        <v>Heat pump</v>
      </c>
      <c r="AT227" s="66"/>
      <c r="AU227" s="185">
        <f>VLOOKUP(AS227,AS223:AU226,3,0)</f>
        <v>7.7959785251050535</v>
      </c>
      <c r="AV227" s="185">
        <f>VLOOKUP(AS227,AS223:AV226,4,0)</f>
        <v>155.91957050210107</v>
      </c>
      <c r="AW227" s="185"/>
      <c r="AX227" s="187">
        <f ca="1">VLOOKUP(AS227,AS223:AX226,6,0)</f>
        <v>1.4725737214087324</v>
      </c>
      <c r="AY227" s="185">
        <f ca="1">VLOOKUP(AS227,AS223:AY226,7,0)</f>
        <v>29.451474428174649</v>
      </c>
      <c r="AZ227" s="66"/>
      <c r="BA227" s="66"/>
      <c r="BB227" s="66"/>
      <c r="BC227" s="66"/>
      <c r="BD227" s="66"/>
      <c r="BE227" s="66"/>
      <c r="BF227" s="66"/>
      <c r="BG227" s="66"/>
      <c r="BH227" s="66"/>
      <c r="BI227" s="66"/>
      <c r="BJ227" s="66"/>
      <c r="BK227" s="66"/>
      <c r="BL227" s="66"/>
      <c r="BM227" s="66"/>
    </row>
    <row r="228" spans="1:65" outlineLevel="1" x14ac:dyDescent="0.25">
      <c r="B228" s="201"/>
    </row>
    <row r="229" spans="1:65" outlineLevel="1" x14ac:dyDescent="0.25">
      <c r="A229" s="61"/>
      <c r="B229" s="272"/>
      <c r="C229" s="62"/>
      <c r="D229" s="114" t="s">
        <v>131</v>
      </c>
      <c r="E229" s="115" t="s">
        <v>132</v>
      </c>
      <c r="F229" s="115"/>
      <c r="G229" s="63"/>
      <c r="H229" s="63"/>
      <c r="I229" s="63"/>
      <c r="J229" s="63"/>
      <c r="K229" s="63"/>
      <c r="L229" s="63"/>
      <c r="M229" s="63"/>
      <c r="N229" s="63"/>
      <c r="O229" s="63"/>
      <c r="P229" s="63"/>
      <c r="Q229" s="63"/>
      <c r="R229" s="63"/>
      <c r="S229" s="63"/>
      <c r="T229" s="63"/>
      <c r="U229" s="63"/>
      <c r="V229" s="63"/>
      <c r="W229" s="63"/>
      <c r="X229" s="63"/>
      <c r="Y229" s="63"/>
      <c r="Z229" s="63"/>
      <c r="AA229" s="64"/>
      <c r="AB229" s="61"/>
      <c r="AC229" s="65" t="s">
        <v>402</v>
      </c>
      <c r="AD229" s="65"/>
      <c r="AE229" s="65"/>
      <c r="AF229" s="65"/>
      <c r="AG229" s="65"/>
      <c r="AH229" s="65"/>
      <c r="AI229" s="65"/>
      <c r="AJ229" s="65"/>
      <c r="AK229" s="65"/>
      <c r="AL229" s="65"/>
      <c r="AM229" s="65"/>
      <c r="AN229" s="65"/>
      <c r="AO229" s="65"/>
      <c r="AP229" s="65"/>
      <c r="AQ229" s="66"/>
      <c r="AR229" s="65" t="s">
        <v>405</v>
      </c>
      <c r="AS229" s="65"/>
      <c r="AT229" s="65"/>
      <c r="AU229" s="65"/>
      <c r="AV229" s="65"/>
      <c r="AW229" s="65"/>
      <c r="AX229" s="65"/>
      <c r="AY229" s="65"/>
      <c r="AZ229" s="65"/>
      <c r="BA229" s="65"/>
      <c r="BB229" s="65" t="s">
        <v>403</v>
      </c>
      <c r="BC229" s="65"/>
      <c r="BD229" s="65"/>
      <c r="BE229" s="65"/>
      <c r="BF229" s="65"/>
      <c r="BG229" s="65"/>
      <c r="BH229" s="65"/>
      <c r="BI229" s="65"/>
      <c r="BJ229" s="65"/>
      <c r="BK229" s="65"/>
      <c r="BL229" s="65"/>
      <c r="BM229" s="65"/>
    </row>
    <row r="230" spans="1:65" ht="15.75" x14ac:dyDescent="0.25">
      <c r="A230" s="61"/>
      <c r="B230" s="272"/>
      <c r="C230" s="69"/>
      <c r="D230" s="70">
        <v>9</v>
      </c>
      <c r="E230" s="71" t="s">
        <v>409</v>
      </c>
      <c r="F230" s="92"/>
      <c r="G230" s="72"/>
      <c r="H230" s="72"/>
      <c r="I230" s="72"/>
      <c r="J230" s="72"/>
      <c r="K230" s="72"/>
      <c r="L230" s="72"/>
      <c r="M230" s="72"/>
      <c r="N230" s="72"/>
      <c r="O230" s="72"/>
      <c r="P230" s="72"/>
      <c r="Q230" s="72"/>
      <c r="R230" s="72"/>
      <c r="S230" s="72"/>
      <c r="T230" s="72"/>
      <c r="U230" s="72"/>
      <c r="V230" s="72"/>
      <c r="W230" s="72"/>
      <c r="X230" s="72"/>
      <c r="Y230" s="72"/>
      <c r="Z230" s="73"/>
      <c r="AA230" s="75"/>
      <c r="AB230" s="61"/>
      <c r="AC230" s="65"/>
      <c r="AD230" s="65"/>
      <c r="AE230" s="76" t="s">
        <v>114</v>
      </c>
      <c r="AF230" s="65"/>
      <c r="AG230" s="65"/>
      <c r="AH230" s="65"/>
      <c r="AI230" s="65"/>
      <c r="AJ230" s="65"/>
      <c r="AK230" s="65"/>
      <c r="AL230" s="65"/>
      <c r="AM230" s="65"/>
      <c r="AN230" s="65"/>
      <c r="AO230" s="65"/>
      <c r="AP230" s="66"/>
      <c r="AQ230" s="65"/>
      <c r="AR230" s="65" t="s">
        <v>404</v>
      </c>
      <c r="AS230" s="65"/>
      <c r="AT230" s="65"/>
      <c r="AU230" s="65"/>
      <c r="AV230" s="65"/>
      <c r="AW230" s="65"/>
      <c r="AX230" s="65"/>
      <c r="AY230" s="65"/>
      <c r="AZ230" s="65"/>
      <c r="BA230" s="65"/>
      <c r="BB230" s="65" t="s">
        <v>407</v>
      </c>
      <c r="BC230" s="65"/>
      <c r="BD230" s="65"/>
      <c r="BE230" s="65"/>
      <c r="BF230" s="65"/>
      <c r="BG230" s="65"/>
      <c r="BH230" s="65"/>
      <c r="BI230" s="65"/>
      <c r="BJ230" s="65"/>
      <c r="BK230" s="65"/>
      <c r="BL230" s="65"/>
      <c r="BM230" s="65"/>
    </row>
    <row r="231" spans="1:65" outlineLevel="1" x14ac:dyDescent="0.25">
      <c r="A231" s="61"/>
      <c r="B231" s="272"/>
      <c r="C231" s="77"/>
      <c r="D231" s="116" t="s">
        <v>133</v>
      </c>
      <c r="E231" s="78"/>
      <c r="F231" s="78"/>
      <c r="AA231" s="75"/>
      <c r="AB231" s="61"/>
      <c r="AC231" s="65"/>
      <c r="AD231" s="65"/>
      <c r="AE231" s="65"/>
      <c r="AF231" s="65"/>
      <c r="AG231" s="65"/>
      <c r="AH231" s="65"/>
      <c r="AI231" s="65"/>
      <c r="AJ231" s="65"/>
      <c r="AK231" s="65"/>
      <c r="AL231" s="65"/>
      <c r="AM231" s="65"/>
      <c r="AN231" s="65"/>
      <c r="AO231" s="65"/>
      <c r="AP231" s="66"/>
      <c r="AQ231" s="65"/>
      <c r="AR231" s="65"/>
      <c r="AS231" s="65"/>
      <c r="AT231" s="65"/>
      <c r="AU231" s="65"/>
      <c r="AV231" s="65"/>
      <c r="AW231" s="65"/>
      <c r="AX231" s="65"/>
      <c r="AY231" s="65"/>
      <c r="AZ231" s="65"/>
      <c r="BA231" s="65"/>
      <c r="BB231" s="65"/>
      <c r="BC231" s="65"/>
      <c r="BD231" s="65"/>
      <c r="BE231" s="65"/>
      <c r="BF231" s="65"/>
      <c r="BG231" s="65"/>
      <c r="BH231" s="65"/>
      <c r="BI231" s="65"/>
      <c r="BJ231" s="65"/>
      <c r="BK231" s="65"/>
      <c r="BL231" s="65"/>
      <c r="BM231" s="65"/>
    </row>
    <row r="232" spans="1:65" outlineLevel="1" x14ac:dyDescent="0.25">
      <c r="A232" s="61"/>
      <c r="B232" s="272"/>
      <c r="C232" s="77"/>
      <c r="D232" s="79">
        <v>0.13</v>
      </c>
      <c r="E232" s="2" t="s">
        <v>151</v>
      </c>
      <c r="F232" s="138">
        <v>1</v>
      </c>
      <c r="G232" s="61"/>
      <c r="H232" s="74"/>
      <c r="I232" s="74"/>
      <c r="J232" s="74"/>
      <c r="K232" s="2" t="s">
        <v>921</v>
      </c>
      <c r="L232" s="74"/>
      <c r="M232" s="74"/>
      <c r="N232" s="74"/>
      <c r="AA232" s="75"/>
      <c r="AB232" s="61"/>
      <c r="AC232" s="65"/>
      <c r="AD232" s="65"/>
      <c r="AE232" s="65" t="s">
        <v>115</v>
      </c>
      <c r="AF232" s="65"/>
      <c r="AG232" s="65"/>
      <c r="AH232" s="65"/>
      <c r="AI232" s="65" t="s">
        <v>116</v>
      </c>
      <c r="AJ232" s="65"/>
      <c r="AK232" s="65"/>
      <c r="AL232" s="65"/>
      <c r="AM232" s="65"/>
      <c r="AN232" s="65"/>
      <c r="AO232" s="65"/>
      <c r="AP232" s="66"/>
      <c r="AQ232" s="65"/>
      <c r="AR232" s="65"/>
      <c r="AS232" s="65"/>
      <c r="AT232" s="65"/>
      <c r="AU232" s="65"/>
      <c r="AV232" s="65"/>
      <c r="AW232" s="65"/>
      <c r="AX232" s="65"/>
      <c r="AY232" s="65"/>
      <c r="AZ232" s="65"/>
      <c r="BA232" s="65"/>
      <c r="BB232" s="65"/>
      <c r="BC232" s="65"/>
      <c r="BD232" s="65"/>
      <c r="BE232" s="65"/>
      <c r="BF232" s="65"/>
      <c r="BG232" s="65"/>
      <c r="BH232" s="65"/>
      <c r="BI232" s="65"/>
      <c r="BJ232" s="65"/>
      <c r="BK232" s="65"/>
      <c r="BL232" s="65"/>
      <c r="BM232" s="65"/>
    </row>
    <row r="233" spans="1:65" ht="15.75" outlineLevel="1" x14ac:dyDescent="0.25">
      <c r="A233" s="61"/>
      <c r="B233" s="272"/>
      <c r="C233" s="77"/>
      <c r="D233" s="79">
        <v>0.04</v>
      </c>
      <c r="E233" s="2" t="s">
        <v>152</v>
      </c>
      <c r="F233" s="2"/>
      <c r="G233" s="61"/>
      <c r="H233" s="74"/>
      <c r="I233" s="74"/>
      <c r="J233" s="74"/>
      <c r="K233" s="74"/>
      <c r="L233" s="74"/>
      <c r="M233" s="74"/>
      <c r="N233" s="74"/>
      <c r="AA233" s="75"/>
      <c r="AB233" s="61"/>
      <c r="AC233" s="65"/>
      <c r="AD233" s="65"/>
      <c r="AE233" s="80" t="s">
        <v>117</v>
      </c>
      <c r="AF233" s="81"/>
      <c r="AG233" s="81"/>
      <c r="AH233" s="65"/>
      <c r="AI233" s="82" t="s">
        <v>118</v>
      </c>
      <c r="AJ233" s="81"/>
      <c r="AK233" s="81"/>
      <c r="AL233" s="65"/>
      <c r="AM233" s="83" t="s">
        <v>119</v>
      </c>
      <c r="AN233" s="84"/>
      <c r="AO233" s="85"/>
      <c r="AP233" s="65"/>
      <c r="AQ233" s="65"/>
      <c r="AR233" s="65"/>
      <c r="AS233" s="65"/>
      <c r="AT233" s="65"/>
      <c r="AU233" s="65"/>
      <c r="AV233" s="65"/>
      <c r="AW233" s="65"/>
      <c r="AX233" s="65"/>
      <c r="AY233" s="65"/>
      <c r="AZ233" s="65"/>
      <c r="BA233" s="65"/>
      <c r="BB233" s="65"/>
      <c r="BC233" s="65"/>
      <c r="BD233" s="65"/>
      <c r="BE233" s="65"/>
      <c r="BF233" s="65"/>
      <c r="BG233" s="65"/>
      <c r="BH233" s="65"/>
      <c r="BI233" s="65"/>
      <c r="BJ233" s="65"/>
      <c r="BK233" s="65"/>
      <c r="BL233" s="65"/>
      <c r="BM233" s="65"/>
    </row>
    <row r="234" spans="1:65" ht="15.75" outlineLevel="1" x14ac:dyDescent="0.25">
      <c r="A234" s="61"/>
      <c r="B234" s="272"/>
      <c r="C234" s="77"/>
      <c r="D234" s="74"/>
      <c r="E234" s="61"/>
      <c r="F234" s="61"/>
      <c r="G234" s="61"/>
      <c r="H234" s="74"/>
      <c r="I234" s="74"/>
      <c r="J234" s="74"/>
      <c r="K234" s="74"/>
      <c r="L234" s="74"/>
      <c r="M234" s="74"/>
      <c r="N234" s="74"/>
      <c r="O234" s="1"/>
      <c r="P234" s="1"/>
      <c r="Q234" s="1"/>
      <c r="AA234" s="75"/>
      <c r="AB234" s="61"/>
      <c r="AC234" s="65"/>
      <c r="AD234" s="65"/>
      <c r="AE234" s="117"/>
      <c r="AF234" s="117"/>
      <c r="AG234" s="117"/>
      <c r="AH234" s="65"/>
      <c r="AI234" s="118"/>
      <c r="AJ234" s="117"/>
      <c r="AK234" s="117"/>
      <c r="AL234" s="65"/>
      <c r="AM234" s="119"/>
      <c r="AN234" s="119"/>
      <c r="AO234" s="119"/>
      <c r="AP234" s="65"/>
      <c r="AQ234" s="65"/>
      <c r="AR234" s="65"/>
      <c r="AS234" s="65"/>
      <c r="AT234" s="148" t="s">
        <v>351</v>
      </c>
      <c r="AU234" s="65"/>
      <c r="AV234" s="65"/>
      <c r="AW234" s="65"/>
      <c r="AX234" s="148"/>
      <c r="AY234" s="65"/>
      <c r="AZ234" s="65"/>
      <c r="BA234" s="65"/>
      <c r="BB234" s="65"/>
      <c r="BC234" s="148" t="s">
        <v>406</v>
      </c>
      <c r="BD234" s="65"/>
      <c r="BE234" s="65"/>
      <c r="BF234" s="65"/>
      <c r="BG234" s="148"/>
      <c r="BH234" s="65"/>
      <c r="BI234" s="65"/>
      <c r="BJ234" s="65"/>
      <c r="BK234" s="65"/>
      <c r="BL234" s="65"/>
      <c r="BM234" s="65"/>
    </row>
    <row r="235" spans="1:65" ht="22.5" outlineLevel="1" x14ac:dyDescent="0.25">
      <c r="A235" s="61"/>
      <c r="B235" s="272"/>
      <c r="C235" s="77"/>
      <c r="D235" s="121" t="str">
        <f>$D$35</f>
        <v>Area section 1</v>
      </c>
      <c r="E235" s="61"/>
      <c r="F235" s="122" t="str">
        <f>$F$35</f>
        <v>Count?</v>
      </c>
      <c r="G235" s="122" t="str">
        <f>$G$35</f>
        <v>Thermal conductivity</v>
      </c>
      <c r="H235" s="122" t="str">
        <f>$H$35</f>
        <v>Manfacturing energy</v>
      </c>
      <c r="I235" s="122" t="str">
        <f>$I$35</f>
        <v>GWP</v>
      </c>
      <c r="J235" s="122" t="str">
        <f>$J$35</f>
        <v>Service life</v>
      </c>
      <c r="K235" s="121" t="str">
        <f>$K$35</f>
        <v>Area section 2 (optional)</v>
      </c>
      <c r="L235" s="121"/>
      <c r="M235" s="122" t="str">
        <f>$M$35</f>
        <v>Count?</v>
      </c>
      <c r="N235" s="122" t="str">
        <f>$N$35</f>
        <v>Thermal conductivity</v>
      </c>
      <c r="O235" s="122" t="str">
        <f>$O$35</f>
        <v>Manfacturing energy</v>
      </c>
      <c r="P235" s="122" t="str">
        <f>$P$35</f>
        <v>GWP</v>
      </c>
      <c r="Q235" s="122" t="str">
        <f>$Q$35</f>
        <v>Service life</v>
      </c>
      <c r="R235" s="121" t="str">
        <f>$R$35</f>
        <v>Area section 3 (optional)</v>
      </c>
      <c r="S235" s="74"/>
      <c r="T235" s="122" t="str">
        <f>$T$35</f>
        <v>Count?</v>
      </c>
      <c r="U235" s="122" t="str">
        <f>$U$35</f>
        <v>Thermal conductivity</v>
      </c>
      <c r="V235" s="122" t="str">
        <f>$V$35</f>
        <v>Manfacturing energy</v>
      </c>
      <c r="W235" s="122" t="str">
        <f>$W$35</f>
        <v>GWP</v>
      </c>
      <c r="X235" s="122" t="str">
        <f>$X$35</f>
        <v>Service life</v>
      </c>
      <c r="Y235" s="74"/>
      <c r="Z235" s="122" t="str">
        <f>$Z$35</f>
        <v>Thickness</v>
      </c>
      <c r="AA235" s="75"/>
      <c r="AB235" s="61"/>
      <c r="AC235" s="65"/>
      <c r="AD235" s="65"/>
      <c r="AE235" s="86"/>
      <c r="AF235" s="87"/>
      <c r="AG235" s="65"/>
      <c r="AH235" s="65"/>
      <c r="AI235" s="65"/>
      <c r="AJ235" s="65"/>
      <c r="AK235" s="65"/>
      <c r="AL235" s="65"/>
      <c r="AM235" s="65"/>
      <c r="AN235" s="65"/>
      <c r="AO235" s="65"/>
      <c r="AP235" s="65"/>
      <c r="AQ235" s="65"/>
      <c r="AR235" s="65"/>
      <c r="AS235" s="65"/>
      <c r="AT235" s="148"/>
      <c r="AU235" s="65"/>
      <c r="AV235" s="65"/>
      <c r="AW235" s="151" t="s">
        <v>353</v>
      </c>
      <c r="AX235" s="149">
        <f>D245</f>
        <v>1</v>
      </c>
      <c r="AY235" s="150">
        <f>K245</f>
        <v>0</v>
      </c>
      <c r="AZ235" s="150">
        <f>R245</f>
        <v>0</v>
      </c>
      <c r="BA235" s="156">
        <f>SUM(AX235:AZ235)</f>
        <v>1</v>
      </c>
      <c r="BB235" s="65"/>
      <c r="BC235" s="148"/>
      <c r="BD235" s="65"/>
      <c r="BE235" s="65"/>
      <c r="BF235" s="151" t="s">
        <v>353</v>
      </c>
      <c r="BG235" s="149">
        <f>AX235</f>
        <v>1</v>
      </c>
      <c r="BH235" s="149">
        <f t="shared" ref="BH235" si="168">AY235</f>
        <v>0</v>
      </c>
      <c r="BI235" s="149">
        <f t="shared" ref="BI235" si="169">AZ235</f>
        <v>0</v>
      </c>
      <c r="BJ235" s="156">
        <f>SUM(BG235:BI235)</f>
        <v>1</v>
      </c>
      <c r="BK235" s="65"/>
      <c r="BL235" s="65"/>
      <c r="BM235" s="65"/>
    </row>
    <row r="236" spans="1:65" outlineLevel="1" x14ac:dyDescent="0.25">
      <c r="A236" s="61"/>
      <c r="B236" s="272"/>
      <c r="C236" s="77"/>
      <c r="E236" s="61"/>
      <c r="F236" s="120" t="s">
        <v>985</v>
      </c>
      <c r="G236" s="4" t="s">
        <v>135</v>
      </c>
      <c r="H236" s="120" t="s">
        <v>144</v>
      </c>
      <c r="I236" s="120" t="s">
        <v>148</v>
      </c>
      <c r="J236" s="120" t="s">
        <v>146</v>
      </c>
      <c r="K236" s="88"/>
      <c r="L236" s="88"/>
      <c r="M236" s="88"/>
      <c r="N236" s="4" t="s">
        <v>135</v>
      </c>
      <c r="O236" s="120" t="s">
        <v>144</v>
      </c>
      <c r="P236" s="120" t="s">
        <v>148</v>
      </c>
      <c r="Q236" s="120" t="s">
        <v>146</v>
      </c>
      <c r="R236" s="88"/>
      <c r="S236" s="88"/>
      <c r="T236" s="88"/>
      <c r="U236" s="4" t="s">
        <v>135</v>
      </c>
      <c r="V236" s="120" t="s">
        <v>144</v>
      </c>
      <c r="W236" s="120" t="s">
        <v>148</v>
      </c>
      <c r="X236" s="120" t="s">
        <v>146</v>
      </c>
      <c r="Y236" s="74"/>
      <c r="Z236" s="120" t="str">
        <f>$Z$36</f>
        <v>[mm]</v>
      </c>
      <c r="AA236" s="75"/>
      <c r="AB236" s="61"/>
      <c r="AC236" s="65"/>
      <c r="AD236" s="65"/>
      <c r="AE236" s="89" t="s">
        <v>120</v>
      </c>
      <c r="AF236" s="89" t="s">
        <v>121</v>
      </c>
      <c r="AG236" s="89" t="s">
        <v>122</v>
      </c>
      <c r="AH236" s="65"/>
      <c r="AI236" s="89" t="s">
        <v>120</v>
      </c>
      <c r="AJ236" s="89" t="s">
        <v>121</v>
      </c>
      <c r="AK236" s="89" t="s">
        <v>122</v>
      </c>
      <c r="AL236" s="90"/>
      <c r="AM236" s="89" t="s">
        <v>120</v>
      </c>
      <c r="AN236" s="89" t="s">
        <v>121</v>
      </c>
      <c r="AO236" s="89" t="s">
        <v>122</v>
      </c>
      <c r="AP236" s="90" t="s">
        <v>123</v>
      </c>
      <c r="AQ236" s="65"/>
      <c r="AR236" s="65"/>
      <c r="AS236" s="65"/>
      <c r="AT236" s="89" t="s">
        <v>120</v>
      </c>
      <c r="AU236" s="89" t="s">
        <v>121</v>
      </c>
      <c r="AV236" s="89" t="s">
        <v>122</v>
      </c>
      <c r="AW236" s="65"/>
      <c r="AX236" s="89" t="s">
        <v>120</v>
      </c>
      <c r="AY236" s="89" t="s">
        <v>121</v>
      </c>
      <c r="AZ236" s="89" t="s">
        <v>122</v>
      </c>
      <c r="BA236" s="89" t="s">
        <v>354</v>
      </c>
      <c r="BB236" s="65"/>
      <c r="BC236" s="89" t="s">
        <v>120</v>
      </c>
      <c r="BD236" s="89" t="s">
        <v>121</v>
      </c>
      <c r="BE236" s="89" t="s">
        <v>122</v>
      </c>
      <c r="BF236" s="65"/>
      <c r="BG236" s="89" t="s">
        <v>120</v>
      </c>
      <c r="BH236" s="89" t="s">
        <v>121</v>
      </c>
      <c r="BI236" s="89" t="s">
        <v>122</v>
      </c>
      <c r="BJ236" s="89" t="s">
        <v>354</v>
      </c>
      <c r="BK236" s="65"/>
      <c r="BL236" s="65"/>
      <c r="BM236" s="65"/>
    </row>
    <row r="237" spans="1:65" outlineLevel="1" x14ac:dyDescent="0.25">
      <c r="A237" s="61"/>
      <c r="B237" s="272"/>
      <c r="C237" s="91"/>
      <c r="D237" s="418" t="s">
        <v>1023</v>
      </c>
      <c r="E237" s="419"/>
      <c r="F237" s="94">
        <v>1</v>
      </c>
      <c r="G237" s="136">
        <f>IF(ISNUMBER(VLOOKUP(LEFT(D237,3),'Material editor'!$D$11:$H$110,'Material editor'!$E$8,0)),VLOOKUP(LEFT(D237,3),'Material editor'!$D$11:$H$110,'Material editor'!$E$8,0),"")</f>
        <v>0.54</v>
      </c>
      <c r="H237" s="137">
        <f>IF(ISNUMBER(VLOOKUP(LEFT(D237,3),'Material editor'!$D$11:$H$110,'Material editor'!$F$8,0)),VLOOKUP(LEFT(D237,3),'Material editor'!$D$11:$H$110,'Material editor'!$F$8,0),"")</f>
        <v>615.62380504232146</v>
      </c>
      <c r="I237" s="137">
        <f>IF(ISNUMBER(VLOOKUP(LEFT(D237,3),'Material editor'!$D$11:$H$110,'Material editor'!$G$8,0)),VLOOKUP(LEFT(D237,3),'Material editor'!$D$11:$H$110,'Material editor'!$G$8,0),"")</f>
        <v>118.443629056085</v>
      </c>
      <c r="J237" s="137">
        <f>IF(ISNUMBER(VLOOKUP(LEFT(D237,3),'Material editor'!$D$11:$H$110,'Material editor'!$H$8,0)),VLOOKUP(LEFT(D237,3),'Material editor'!$D$11:$H$110,'Material editor'!$H$8,0),"")</f>
        <v>40</v>
      </c>
      <c r="K237" s="418"/>
      <c r="L237" s="407"/>
      <c r="M237" s="94"/>
      <c r="N237" s="136" t="str">
        <f>IF(ISNUMBER(VLOOKUP(LEFT(K237,3),'Material editor'!$D$11:$H$110,'Material editor'!$E$8,0)),VLOOKUP(LEFT(K237,3),'Material editor'!$D$11:$H$110,'Material editor'!$E$8,0),"")</f>
        <v/>
      </c>
      <c r="O237" s="137" t="str">
        <f>IF(ISNUMBER(VLOOKUP(LEFT(K237,3),'Material editor'!$D$11:$H$110,'Material editor'!$F$8,0)),VLOOKUP(LEFT(K237,3),'Material editor'!$D$11:$H$110,'Material editor'!$F$8,0),"")</f>
        <v/>
      </c>
      <c r="P237" s="137" t="str">
        <f>IF(ISNUMBER(VLOOKUP(LEFT(K237,3),'Material editor'!$D$11:$H$110,'Material editor'!$G$8,0)),VLOOKUP(LEFT(K237,3),'Material editor'!$D$11:$H$110,'Material editor'!$G$8,0),"")</f>
        <v/>
      </c>
      <c r="Q237" s="137" t="str">
        <f>IF(ISNUMBER(VLOOKUP(LEFT(K237,3),'Material editor'!$D$11:$H$110,'Material editor'!$H$8,0)),VLOOKUP(LEFT(K237,3),'Material editor'!$D$11:$H$110,'Material editor'!$H$8,0),"")</f>
        <v/>
      </c>
      <c r="R237" s="418"/>
      <c r="S237" s="407"/>
      <c r="T237" s="94"/>
      <c r="U237" s="136" t="str">
        <f>IF(ISNUMBER(VLOOKUP(LEFT(R237,3),'Material editor'!$D$11:$H$110,'Material editor'!$E$8,0)),VLOOKUP(LEFT(R237,3),'Material editor'!$D$11:$H$110,'Material editor'!$E$8,0),"")</f>
        <v/>
      </c>
      <c r="V237" s="137" t="str">
        <f>IF(ISNUMBER(VLOOKUP(LEFT(R237,3),'Material editor'!$D$11:$H$110,'Material editor'!$F$8,0)),VLOOKUP(LEFT(R237,3),'Material editor'!$D$11:$H$110,'Material editor'!$F$8,0),"")</f>
        <v/>
      </c>
      <c r="W237" s="137" t="str">
        <f>IF(ISNUMBER(VLOOKUP(LEFT(R237,3),'Material editor'!$D$11:$H$110,'Material editor'!$G$8,0)),VLOOKUP(LEFT(R237,3),'Material editor'!$D$11:$H$110,'Material editor'!$G$8,0),"")</f>
        <v/>
      </c>
      <c r="X237" s="137" t="str">
        <f>IF(ISNUMBER(VLOOKUP(LEFT(R237,3),'Material editor'!$D$11:$H$110,'Material editor'!$H$8,0)),VLOOKUP(LEFT(R237,3),'Material editor'!$D$11:$H$110,'Material editor'!$H$8,0),"")</f>
        <v/>
      </c>
      <c r="Y237" s="74"/>
      <c r="Z237" s="94">
        <v>15</v>
      </c>
      <c r="AA237" s="8"/>
      <c r="AB237" s="61"/>
      <c r="AC237" s="65"/>
      <c r="AD237" s="65"/>
      <c r="AE237" s="95">
        <f t="shared" ref="AE237:AE244" si="170">IF(ISNUMBER(G237),IF(G237&gt;0,$Z237/1000/G237,0),0)</f>
        <v>2.7777777777777776E-2</v>
      </c>
      <c r="AF237" s="95">
        <f t="shared" ref="AF237:AF244" si="171">IF(ISNUMBER(N237),IF(N237&gt;0,$Z237/1000/N237,0),$AE237)</f>
        <v>2.7777777777777776E-2</v>
      </c>
      <c r="AG237" s="95">
        <f t="shared" ref="AG237:AG244" si="172">IF(ISNUMBER(U237),IF(U237&gt;0,$Z237/1000/U237,0),$AE237)</f>
        <v>2.7777777777777776E-2</v>
      </c>
      <c r="AH237" s="65"/>
      <c r="AI237" s="95">
        <f t="shared" ref="AI237:AI243" si="173">IF(ISNUMBER(G237),G237,0)</f>
        <v>0.54</v>
      </c>
      <c r="AJ237" s="95">
        <f t="shared" ref="AJ237:AJ244" si="174">IF(ISNUMBER(N237),IF(N237&gt;0,N237,0),$AI237)</f>
        <v>0.54</v>
      </c>
      <c r="AK237" s="95">
        <f t="shared" ref="AK237:AK244" si="175">IF(ISNUMBER(U237),IF(U237&gt;0,U237,0),$AI237)</f>
        <v>0.54</v>
      </c>
      <c r="AL237" s="65"/>
      <c r="AM237" s="96">
        <f>AE246</f>
        <v>1</v>
      </c>
      <c r="AN237" s="96">
        <f>AF246</f>
        <v>0</v>
      </c>
      <c r="AO237" s="96">
        <f>AG246</f>
        <v>0</v>
      </c>
      <c r="AP237" s="65">
        <f t="shared" ref="AP237:AP244" si="176">IF(AI237&lt;&gt;0,Z237/1000/SUMPRODUCT(AM237:AO237,AI237:AK237),0)</f>
        <v>2.7777777777777776E-2</v>
      </c>
      <c r="AQ237" s="65"/>
      <c r="AR237" s="65"/>
      <c r="AS237" s="65"/>
      <c r="AT237" s="95">
        <f>IF(ISNUMBER(H237),H237*F237*Z237/1000*Balance!$H$13/J237,0)</f>
        <v>4.6171785378174111</v>
      </c>
      <c r="AU237" s="95">
        <f>IF(ISTEXT(K237),IF(ISNUMBER(O237),O237*M237*Z237/1000*Balance!$H$13/Q237,0),AT237)</f>
        <v>4.6171785378174111</v>
      </c>
      <c r="AV237" s="95">
        <f>IF(ISTEXT(R237),IF(ISNUMBER(V237),V237*T237*Z237/1000*Balance!$H$13/X237,0),AT237)</f>
        <v>4.6171785378174111</v>
      </c>
      <c r="AW237" s="99"/>
      <c r="AX237" s="95">
        <f>AT237*AX235</f>
        <v>4.6171785378174111</v>
      </c>
      <c r="AY237" s="95">
        <f>AU237*AY235</f>
        <v>0</v>
      </c>
      <c r="AZ237" s="95">
        <f>AV237*AZ235</f>
        <v>0</v>
      </c>
      <c r="BA237" s="95">
        <f>SUM(AX237:AZ237)</f>
        <v>4.6171785378174111</v>
      </c>
      <c r="BB237" s="65"/>
      <c r="BC237" s="95">
        <f>IF(ISNUMBER(I237),I237*F237*Z237/1000*Balance!$H$13/J237,0)</f>
        <v>0.88832721792063762</v>
      </c>
      <c r="BD237" s="95">
        <f>IF(ISTEXT(K237),IF(ISNUMBER(P237),P237*M237*Z237/1000*Balance!$H$13/Q237,0),BC237)</f>
        <v>0.88832721792063762</v>
      </c>
      <c r="BE237" s="95">
        <f>IF(ISTEXT(R237),IF(ISNUMBER(W237),W237*T237*Z237/1000*Balance!$H$13/X237,0),BC237)</f>
        <v>0.88832721792063762</v>
      </c>
      <c r="BF237" s="99"/>
      <c r="BG237" s="95">
        <f>BC237*BG235</f>
        <v>0.88832721792063762</v>
      </c>
      <c r="BH237" s="95">
        <f>BD237*BH235</f>
        <v>0</v>
      </c>
      <c r="BI237" s="95">
        <f>BE237*BI235</f>
        <v>0</v>
      </c>
      <c r="BJ237" s="95">
        <f>SUM(BG237:BI237)</f>
        <v>0.88832721792063762</v>
      </c>
      <c r="BK237" s="65"/>
      <c r="BL237" s="65"/>
      <c r="BM237" s="65"/>
    </row>
    <row r="238" spans="1:65" outlineLevel="1" x14ac:dyDescent="0.25">
      <c r="A238" s="61"/>
      <c r="B238" s="272"/>
      <c r="C238" s="91"/>
      <c r="D238" s="418" t="s">
        <v>1013</v>
      </c>
      <c r="E238" s="407"/>
      <c r="F238" s="94">
        <v>1</v>
      </c>
      <c r="G238" s="136">
        <f>IF(ISNUMBER(VLOOKUP(LEFT(D238,3),'Material editor'!$D$11:$H$110,'Material editor'!$E$8,0)),VLOOKUP(LEFT(D238,3),'Material editor'!$D$11:$H$110,'Material editor'!$E$8,0),"")</f>
        <v>7.0000000000000007E-2</v>
      </c>
      <c r="H238" s="137">
        <f>IF(ISNUMBER(VLOOKUP(LEFT(D238,3),'Material editor'!$D$11:$H$110,'Material editor'!$F$8,0)),VLOOKUP(LEFT(D238,3),'Material editor'!$D$11:$H$110,'Material editor'!$F$8,0),"")</f>
        <v>284.53852415094752</v>
      </c>
      <c r="I238" s="137">
        <f>IF(ISNUMBER(VLOOKUP(LEFT(D238,3),'Material editor'!$D$11:$H$110,'Material editor'!$G$8,0)),VLOOKUP(LEFT(D238,3),'Material editor'!$D$11:$H$110,'Material editor'!$G$8,0),"")</f>
        <v>147.82491551626737</v>
      </c>
      <c r="J238" s="137">
        <f>IF(ISNUMBER(VLOOKUP(LEFT(D238,3),'Material editor'!$D$11:$H$110,'Material editor'!$H$8,0)),VLOOKUP(LEFT(D238,3),'Material editor'!$D$11:$H$110,'Material editor'!$H$8,0),"")</f>
        <v>80</v>
      </c>
      <c r="K238" s="418"/>
      <c r="L238" s="407"/>
      <c r="M238" s="94"/>
      <c r="N238" s="136" t="str">
        <f>IF(ISNUMBER(VLOOKUP(LEFT(K238,3),'Material editor'!$D$11:$H$110,'Material editor'!$E$8,0)),VLOOKUP(LEFT(K238,3),'Material editor'!$D$11:$H$110,'Material editor'!$E$8,0),"")</f>
        <v/>
      </c>
      <c r="O238" s="137" t="str">
        <f>IF(ISNUMBER(VLOOKUP(LEFT(K238,3),'Material editor'!$D$11:$H$110,'Material editor'!$F$8,0)),VLOOKUP(LEFT(K238,3),'Material editor'!$D$11:$H$110,'Material editor'!$F$8,0),"")</f>
        <v/>
      </c>
      <c r="P238" s="137" t="str">
        <f>IF(ISNUMBER(VLOOKUP(LEFT(K238,3),'Material editor'!$D$11:$H$110,'Material editor'!$G$8,0)),VLOOKUP(LEFT(K238,3),'Material editor'!$D$11:$H$110,'Material editor'!$G$8,0),"")</f>
        <v/>
      </c>
      <c r="Q238" s="137" t="str">
        <f>IF(ISNUMBER(VLOOKUP(LEFT(K238,3),'Material editor'!$D$11:$H$110,'Material editor'!$H$8,0)),VLOOKUP(LEFT(K238,3),'Material editor'!$D$11:$H$110,'Material editor'!$H$8,0),"")</f>
        <v/>
      </c>
      <c r="R238" s="418"/>
      <c r="S238" s="407"/>
      <c r="T238" s="94"/>
      <c r="U238" s="136" t="str">
        <f>IF(ISNUMBER(VLOOKUP(LEFT(R238,3),'Material editor'!$D$11:$H$110,'Material editor'!$E$8,0)),VLOOKUP(LEFT(R238,3),'Material editor'!$D$11:$H$110,'Material editor'!$E$8,0),"")</f>
        <v/>
      </c>
      <c r="V238" s="137" t="str">
        <f>IF(ISNUMBER(VLOOKUP(LEFT(R238,3),'Material editor'!$D$11:$H$110,'Material editor'!$F$8,0)),VLOOKUP(LEFT(R238,3),'Material editor'!$D$11:$H$110,'Material editor'!$F$8,0),"")</f>
        <v/>
      </c>
      <c r="W238" s="137" t="str">
        <f>IF(ISNUMBER(VLOOKUP(LEFT(R238,3),'Material editor'!$D$11:$H$110,'Material editor'!$G$8,0)),VLOOKUP(LEFT(R238,3),'Material editor'!$D$11:$H$110,'Material editor'!$G$8,0),"")</f>
        <v/>
      </c>
      <c r="X238" s="137" t="str">
        <f>IF(ISNUMBER(VLOOKUP(LEFT(R238,3),'Material editor'!$D$11:$H$110,'Material editor'!$H$8,0)),VLOOKUP(LEFT(R238,3),'Material editor'!$D$11:$H$110,'Material editor'!$H$8,0),"")</f>
        <v/>
      </c>
      <c r="Y238" s="74"/>
      <c r="Z238" s="94">
        <v>457</v>
      </c>
      <c r="AA238" s="8"/>
      <c r="AB238" s="61"/>
      <c r="AC238" s="65"/>
      <c r="AD238" s="65"/>
      <c r="AE238" s="95">
        <f t="shared" si="170"/>
        <v>6.5285714285714285</v>
      </c>
      <c r="AF238" s="95">
        <f t="shared" si="171"/>
        <v>6.5285714285714285</v>
      </c>
      <c r="AG238" s="95">
        <f t="shared" si="172"/>
        <v>6.5285714285714285</v>
      </c>
      <c r="AH238" s="65"/>
      <c r="AI238" s="95">
        <f t="shared" si="173"/>
        <v>7.0000000000000007E-2</v>
      </c>
      <c r="AJ238" s="95">
        <f t="shared" si="174"/>
        <v>7.0000000000000007E-2</v>
      </c>
      <c r="AK238" s="95">
        <f t="shared" si="175"/>
        <v>7.0000000000000007E-2</v>
      </c>
      <c r="AL238" s="65"/>
      <c r="AM238" s="96">
        <f t="shared" ref="AM238:AO238" si="177">AM237</f>
        <v>1</v>
      </c>
      <c r="AN238" s="96">
        <f t="shared" si="177"/>
        <v>0</v>
      </c>
      <c r="AO238" s="96">
        <f t="shared" si="177"/>
        <v>0</v>
      </c>
      <c r="AP238" s="65">
        <f t="shared" si="176"/>
        <v>6.5285714285714285</v>
      </c>
      <c r="AQ238" s="65"/>
      <c r="AR238" s="65"/>
      <c r="AS238" s="65"/>
      <c r="AT238" s="95">
        <f>IF(ISNUMBER(H238),H238*F238*Z238/1000*Balance!$H$13/J238,0)</f>
        <v>32.508526384245755</v>
      </c>
      <c r="AU238" s="95">
        <f>IF(ISTEXT(K238),IF(ISNUMBER(O238),O238*M238*Z238/1000*Balance!$H$13/Q238,0),AT238)</f>
        <v>32.508526384245755</v>
      </c>
      <c r="AV238" s="95">
        <f>IF(ISTEXT(R238),IF(ISNUMBER(V238),V238*T238*Z238/1000*Balance!$H$13/X238,0),AT238)</f>
        <v>32.508526384245755</v>
      </c>
      <c r="AW238" s="65"/>
      <c r="AX238" s="95">
        <f>AT238*AX235</f>
        <v>32.508526384245755</v>
      </c>
      <c r="AY238" s="95">
        <f>AU238*AY235</f>
        <v>0</v>
      </c>
      <c r="AZ238" s="95">
        <f>AV238*AZ235</f>
        <v>0</v>
      </c>
      <c r="BA238" s="95">
        <f t="shared" ref="BA238:BA244" si="178">SUM(AX238:AZ238)</f>
        <v>32.508526384245755</v>
      </c>
      <c r="BB238" s="65"/>
      <c r="BC238" s="95">
        <f>IF(ISNUMBER(I238),I238*F238*Z238/1000*Balance!$H$13/J238,0)</f>
        <v>16.888996597733545</v>
      </c>
      <c r="BD238" s="95">
        <f>IF(ISTEXT(K238),IF(ISNUMBER(P238),P238*M238*Z238/1000*Balance!$H$13/Q238,0),BC238)</f>
        <v>16.888996597733545</v>
      </c>
      <c r="BE238" s="95">
        <f>IF(ISTEXT(R238),IF(ISNUMBER(W238),W238*T238*Z238/1000*Balance!$H$13/X238,0),BC238)</f>
        <v>16.888996597733545</v>
      </c>
      <c r="BF238" s="65"/>
      <c r="BG238" s="95">
        <f>BC238*BG235</f>
        <v>16.888996597733545</v>
      </c>
      <c r="BH238" s="95">
        <f>BD238*BH235</f>
        <v>0</v>
      </c>
      <c r="BI238" s="95">
        <f>BE238*BI235</f>
        <v>0</v>
      </c>
      <c r="BJ238" s="95">
        <f t="shared" ref="BJ238:BJ244" si="179">SUM(BG238:BI238)</f>
        <v>16.888996597733545</v>
      </c>
      <c r="BK238" s="65"/>
      <c r="BL238" s="65"/>
      <c r="BM238" s="65"/>
    </row>
    <row r="239" spans="1:65" outlineLevel="1" x14ac:dyDescent="0.25">
      <c r="A239" s="61"/>
      <c r="B239" s="272"/>
      <c r="C239" s="91"/>
      <c r="D239" s="418" t="s">
        <v>1027</v>
      </c>
      <c r="E239" s="419"/>
      <c r="F239" s="94">
        <v>1</v>
      </c>
      <c r="G239" s="136">
        <f>IF(ISNUMBER(VLOOKUP(LEFT(D239,3),'Material editor'!$D$11:$H$110,'Material editor'!$E$8,0)),VLOOKUP(LEFT(D239,3),'Material editor'!$D$11:$H$110,'Material editor'!$E$8,0),"")</f>
        <v>1</v>
      </c>
      <c r="H239" s="137">
        <f>IF(ISNUMBER(VLOOKUP(LEFT(D239,3),'Material editor'!$D$11:$H$110,'Material editor'!$F$8,0)),VLOOKUP(LEFT(D239,3),'Material editor'!$D$11:$H$110,'Material editor'!$F$8,0),"")</f>
        <v>905.22046069906946</v>
      </c>
      <c r="I239" s="137">
        <f>IF(ISNUMBER(VLOOKUP(LEFT(D239,3),'Material editor'!$D$11:$H$110,'Material editor'!$G$8,0)),VLOOKUP(LEFT(D239,3),'Material editor'!$D$11:$H$110,'Material editor'!$G$8,0),"")</f>
        <v>354.91241395986202</v>
      </c>
      <c r="J239" s="137">
        <f>IF(ISNUMBER(VLOOKUP(LEFT(D239,3),'Material editor'!$D$11:$H$110,'Material editor'!$H$8,0)),VLOOKUP(LEFT(D239,3),'Material editor'!$D$11:$H$110,'Material editor'!$H$8,0),"")</f>
        <v>40</v>
      </c>
      <c r="K239" s="418"/>
      <c r="L239" s="407"/>
      <c r="M239" s="94"/>
      <c r="N239" s="136" t="str">
        <f>IF(ISNUMBER(VLOOKUP(LEFT(K239,3),'Material editor'!$D$11:$H$110,'Material editor'!$E$8,0)),VLOOKUP(LEFT(K239,3),'Material editor'!$D$11:$H$110,'Material editor'!$E$8,0),"")</f>
        <v/>
      </c>
      <c r="O239" s="137" t="str">
        <f>IF(ISNUMBER(VLOOKUP(LEFT(K239,3),'Material editor'!$D$11:$H$110,'Material editor'!$F$8,0)),VLOOKUP(LEFT(K239,3),'Material editor'!$D$11:$H$110,'Material editor'!$F$8,0),"")</f>
        <v/>
      </c>
      <c r="P239" s="137" t="str">
        <f>IF(ISNUMBER(VLOOKUP(LEFT(K239,3),'Material editor'!$D$11:$H$110,'Material editor'!$G$8,0)),VLOOKUP(LEFT(K239,3),'Material editor'!$D$11:$H$110,'Material editor'!$G$8,0),"")</f>
        <v/>
      </c>
      <c r="Q239" s="137" t="str">
        <f>IF(ISNUMBER(VLOOKUP(LEFT(K239,3),'Material editor'!$D$11:$H$110,'Material editor'!$H$8,0)),VLOOKUP(LEFT(K239,3),'Material editor'!$D$11:$H$110,'Material editor'!$H$8,0),"")</f>
        <v/>
      </c>
      <c r="R239" s="418"/>
      <c r="S239" s="407"/>
      <c r="T239" s="94"/>
      <c r="U239" s="136" t="str">
        <f>IF(ISNUMBER(VLOOKUP(LEFT(R239,3),'Material editor'!$D$11:$H$110,'Material editor'!$E$8,0)),VLOOKUP(LEFT(R239,3),'Material editor'!$D$11:$H$110,'Material editor'!$E$8,0),"")</f>
        <v/>
      </c>
      <c r="V239" s="137" t="str">
        <f>IF(ISNUMBER(VLOOKUP(LEFT(R239,3),'Material editor'!$D$11:$H$110,'Material editor'!$F$8,0)),VLOOKUP(LEFT(R239,3),'Material editor'!$D$11:$H$110,'Material editor'!$F$8,0),"")</f>
        <v/>
      </c>
      <c r="W239" s="137" t="str">
        <f>IF(ISNUMBER(VLOOKUP(LEFT(R239,3),'Material editor'!$D$11:$H$110,'Material editor'!$G$8,0)),VLOOKUP(LEFT(R239,3),'Material editor'!$D$11:$H$110,'Material editor'!$G$8,0),"")</f>
        <v/>
      </c>
      <c r="X239" s="137" t="str">
        <f>IF(ISNUMBER(VLOOKUP(LEFT(R239,3),'Material editor'!$D$11:$H$110,'Material editor'!$H$8,0)),VLOOKUP(LEFT(R239,3),'Material editor'!$D$11:$H$110,'Material editor'!$H$8,0),"")</f>
        <v/>
      </c>
      <c r="Y239" s="74"/>
      <c r="Z239" s="94">
        <v>20</v>
      </c>
      <c r="AA239" s="8"/>
      <c r="AB239" s="61"/>
      <c r="AC239" s="65"/>
      <c r="AD239" s="65"/>
      <c r="AE239" s="95">
        <f t="shared" si="170"/>
        <v>0.02</v>
      </c>
      <c r="AF239" s="95">
        <f t="shared" si="171"/>
        <v>0.02</v>
      </c>
      <c r="AG239" s="95">
        <f t="shared" si="172"/>
        <v>0.02</v>
      </c>
      <c r="AH239" s="65"/>
      <c r="AI239" s="95">
        <f t="shared" si="173"/>
        <v>1</v>
      </c>
      <c r="AJ239" s="95">
        <f t="shared" si="174"/>
        <v>1</v>
      </c>
      <c r="AK239" s="95">
        <f t="shared" si="175"/>
        <v>1</v>
      </c>
      <c r="AL239" s="65"/>
      <c r="AM239" s="96">
        <f t="shared" ref="AM239:AO239" si="180">AM238</f>
        <v>1</v>
      </c>
      <c r="AN239" s="96">
        <f t="shared" si="180"/>
        <v>0</v>
      </c>
      <c r="AO239" s="96">
        <f t="shared" si="180"/>
        <v>0</v>
      </c>
      <c r="AP239" s="65">
        <f t="shared" si="176"/>
        <v>0.02</v>
      </c>
      <c r="AQ239" s="65"/>
      <c r="AR239" s="65"/>
      <c r="AS239" s="65"/>
      <c r="AT239" s="95">
        <f>IF(ISNUMBER(H239),H239*F239*Z239/1000*Balance!$H$13/J239,0)</f>
        <v>9.0522046069906938</v>
      </c>
      <c r="AU239" s="95">
        <f>IF(ISTEXT(K239),IF(ISNUMBER(O239),O239*M239*Z239/1000*Balance!$H$13/Q239,0),AT239)</f>
        <v>9.0522046069906938</v>
      </c>
      <c r="AV239" s="95">
        <f>IF(ISTEXT(R239),IF(ISNUMBER(V239),V239*T239*Z239/1000*Balance!$H$13/X239,0),AT239)</f>
        <v>9.0522046069906938</v>
      </c>
      <c r="AW239" s="65"/>
      <c r="AX239" s="95">
        <f>AT239*AX235</f>
        <v>9.0522046069906938</v>
      </c>
      <c r="AY239" s="95">
        <f>AU239*AY235</f>
        <v>0</v>
      </c>
      <c r="AZ239" s="95">
        <f>AV239*AZ235</f>
        <v>0</v>
      </c>
      <c r="BA239" s="95">
        <f t="shared" si="178"/>
        <v>9.0522046069906938</v>
      </c>
      <c r="BB239" s="65"/>
      <c r="BC239" s="95">
        <f>IF(ISNUMBER(I239),I239*F239*Z239/1000*Balance!$H$13/J239,0)</f>
        <v>3.5491241395986202</v>
      </c>
      <c r="BD239" s="95">
        <f>IF(ISTEXT(K239),IF(ISNUMBER(P239),P239*M239*Z239/1000*Balance!$H$13/Q239,0),BC239)</f>
        <v>3.5491241395986202</v>
      </c>
      <c r="BE239" s="95">
        <f>IF(ISTEXT(R239),IF(ISNUMBER(W239),W239*T239*Z239/1000*Balance!$H$13/X239,0),BC239)</f>
        <v>3.5491241395986202</v>
      </c>
      <c r="BF239" s="65"/>
      <c r="BG239" s="95">
        <f>BC239*BG235</f>
        <v>3.5491241395986202</v>
      </c>
      <c r="BH239" s="95">
        <f>BD239*BH235</f>
        <v>0</v>
      </c>
      <c r="BI239" s="95">
        <f>BE239*BI235</f>
        <v>0</v>
      </c>
      <c r="BJ239" s="95">
        <f t="shared" si="179"/>
        <v>3.5491241395986202</v>
      </c>
      <c r="BK239" s="65"/>
      <c r="BL239" s="65"/>
      <c r="BM239" s="65"/>
    </row>
    <row r="240" spans="1:65" outlineLevel="1" x14ac:dyDescent="0.25">
      <c r="A240" s="61"/>
      <c r="B240" s="272"/>
      <c r="C240" s="91"/>
      <c r="D240" s="418"/>
      <c r="E240" s="407"/>
      <c r="F240" s="94"/>
      <c r="G240" s="136" t="str">
        <f>IF(ISNUMBER(VLOOKUP(LEFT(D240,3),'Material editor'!$D$11:$H$110,'Material editor'!$E$8,0)),VLOOKUP(LEFT(D240,3),'Material editor'!$D$11:$H$110,'Material editor'!$E$8,0),"")</f>
        <v/>
      </c>
      <c r="H240" s="137" t="str">
        <f>IF(ISNUMBER(VLOOKUP(LEFT(D240,3),'Material editor'!$D$11:$H$110,'Material editor'!$F$8,0)),VLOOKUP(LEFT(D240,3),'Material editor'!$D$11:$H$110,'Material editor'!$F$8,0),"")</f>
        <v/>
      </c>
      <c r="I240" s="137" t="str">
        <f>IF(ISNUMBER(VLOOKUP(LEFT(D240,3),'Material editor'!$D$11:$H$110,'Material editor'!$G$8,0)),VLOOKUP(LEFT(D240,3),'Material editor'!$D$11:$H$110,'Material editor'!$G$8,0),"")</f>
        <v/>
      </c>
      <c r="J240" s="137" t="str">
        <f>IF(ISNUMBER(VLOOKUP(LEFT(D240,3),'Material editor'!$D$11:$H$110,'Material editor'!$H$8,0)),VLOOKUP(LEFT(D240,3),'Material editor'!$D$11:$H$110,'Material editor'!$H$8,0),"")</f>
        <v/>
      </c>
      <c r="K240" s="418"/>
      <c r="L240" s="407"/>
      <c r="M240" s="94"/>
      <c r="N240" s="136" t="str">
        <f>IF(ISNUMBER(VLOOKUP(LEFT(K240,3),'Material editor'!$D$11:$H$110,'Material editor'!$E$8,0)),VLOOKUP(LEFT(K240,3),'Material editor'!$D$11:$H$110,'Material editor'!$E$8,0),"")</f>
        <v/>
      </c>
      <c r="O240" s="137" t="str">
        <f>IF(ISNUMBER(VLOOKUP(LEFT(K240,3),'Material editor'!$D$11:$H$110,'Material editor'!$F$8,0)),VLOOKUP(LEFT(K240,3),'Material editor'!$D$11:$H$110,'Material editor'!$F$8,0),"")</f>
        <v/>
      </c>
      <c r="P240" s="137" t="str">
        <f>IF(ISNUMBER(VLOOKUP(LEFT(K240,3),'Material editor'!$D$11:$H$110,'Material editor'!$G$8,0)),VLOOKUP(LEFT(K240,3),'Material editor'!$D$11:$H$110,'Material editor'!$G$8,0),"")</f>
        <v/>
      </c>
      <c r="Q240" s="137" t="str">
        <f>IF(ISNUMBER(VLOOKUP(LEFT(K240,3),'Material editor'!$D$11:$H$110,'Material editor'!$H$8,0)),VLOOKUP(LEFT(K240,3),'Material editor'!$D$11:$H$110,'Material editor'!$H$8,0),"")</f>
        <v/>
      </c>
      <c r="R240" s="418"/>
      <c r="S240" s="407"/>
      <c r="T240" s="94"/>
      <c r="U240" s="136" t="str">
        <f>IF(ISNUMBER(VLOOKUP(LEFT(R240,3),'Material editor'!$D$11:$H$110,'Material editor'!$E$8,0)),VLOOKUP(LEFT(R240,3),'Material editor'!$D$11:$H$110,'Material editor'!$E$8,0),"")</f>
        <v/>
      </c>
      <c r="V240" s="137" t="str">
        <f>IF(ISNUMBER(VLOOKUP(LEFT(R240,3),'Material editor'!$D$11:$H$110,'Material editor'!$F$8,0)),VLOOKUP(LEFT(R240,3),'Material editor'!$D$11:$H$110,'Material editor'!$F$8,0),"")</f>
        <v/>
      </c>
      <c r="W240" s="137" t="str">
        <f>IF(ISNUMBER(VLOOKUP(LEFT(R240,3),'Material editor'!$D$11:$H$110,'Material editor'!$G$8,0)),VLOOKUP(LEFT(R240,3),'Material editor'!$D$11:$H$110,'Material editor'!$G$8,0),"")</f>
        <v/>
      </c>
      <c r="X240" s="137" t="str">
        <f>IF(ISNUMBER(VLOOKUP(LEFT(R240,3),'Material editor'!$D$11:$H$110,'Material editor'!$H$8,0)),VLOOKUP(LEFT(R240,3),'Material editor'!$D$11:$H$110,'Material editor'!$H$8,0),"")</f>
        <v/>
      </c>
      <c r="Y240" s="74"/>
      <c r="Z240" s="94"/>
      <c r="AA240" s="8"/>
      <c r="AB240" s="61"/>
      <c r="AC240" s="65"/>
      <c r="AD240" s="65"/>
      <c r="AE240" s="95">
        <f t="shared" si="170"/>
        <v>0</v>
      </c>
      <c r="AF240" s="95">
        <f t="shared" si="171"/>
        <v>0</v>
      </c>
      <c r="AG240" s="95">
        <f t="shared" si="172"/>
        <v>0</v>
      </c>
      <c r="AH240" s="65"/>
      <c r="AI240" s="95">
        <f t="shared" si="173"/>
        <v>0</v>
      </c>
      <c r="AJ240" s="95">
        <f t="shared" si="174"/>
        <v>0</v>
      </c>
      <c r="AK240" s="95">
        <f t="shared" si="175"/>
        <v>0</v>
      </c>
      <c r="AL240" s="65"/>
      <c r="AM240" s="96">
        <f t="shared" ref="AM240:AO240" si="181">AM239</f>
        <v>1</v>
      </c>
      <c r="AN240" s="96">
        <f t="shared" si="181"/>
        <v>0</v>
      </c>
      <c r="AO240" s="96">
        <f t="shared" si="181"/>
        <v>0</v>
      </c>
      <c r="AP240" s="65">
        <f t="shared" si="176"/>
        <v>0</v>
      </c>
      <c r="AQ240" s="65"/>
      <c r="AR240" s="65"/>
      <c r="AS240" s="65"/>
      <c r="AT240" s="95">
        <f>IF(ISNUMBER(H240),H240*F240*Z240/1000*Balance!$H$13/J240,0)</f>
        <v>0</v>
      </c>
      <c r="AU240" s="95">
        <f>IF(ISTEXT(K240),IF(ISNUMBER(O240),O240*M240*Z240/1000*Balance!$H$13/Q240,0),AT240)</f>
        <v>0</v>
      </c>
      <c r="AV240" s="95">
        <f>IF(ISTEXT(R240),IF(ISNUMBER(V240),V240*T240*Z240/1000*Balance!$H$13/X240,0),AT240)</f>
        <v>0</v>
      </c>
      <c r="AW240" s="65"/>
      <c r="AX240" s="95">
        <f>AT240*AX235</f>
        <v>0</v>
      </c>
      <c r="AY240" s="95">
        <f>AU240*AY235</f>
        <v>0</v>
      </c>
      <c r="AZ240" s="95">
        <f>AV240*AZ235</f>
        <v>0</v>
      </c>
      <c r="BA240" s="95">
        <f t="shared" si="178"/>
        <v>0</v>
      </c>
      <c r="BB240" s="65"/>
      <c r="BC240" s="95">
        <f>IF(ISNUMBER(I240),I240*F240*Z240/1000*Balance!$H$13/J240,0)</f>
        <v>0</v>
      </c>
      <c r="BD240" s="95">
        <f>IF(ISTEXT(K240),IF(ISNUMBER(P240),P240*M240*Z240/1000*Balance!$H$13/Q240,0),BC240)</f>
        <v>0</v>
      </c>
      <c r="BE240" s="95">
        <f>IF(ISTEXT(R240),IF(ISNUMBER(W240),W240*T240*Z240/1000*Balance!$H$13/X240,0),BC240)</f>
        <v>0</v>
      </c>
      <c r="BF240" s="65"/>
      <c r="BG240" s="95">
        <f>BC240*BG235</f>
        <v>0</v>
      </c>
      <c r="BH240" s="95">
        <f>BD240*BH235</f>
        <v>0</v>
      </c>
      <c r="BI240" s="95">
        <f>BE240*BI235</f>
        <v>0</v>
      </c>
      <c r="BJ240" s="95">
        <f t="shared" si="179"/>
        <v>0</v>
      </c>
      <c r="BK240" s="65"/>
      <c r="BL240" s="65"/>
      <c r="BM240" s="65"/>
    </row>
    <row r="241" spans="1:65" outlineLevel="1" x14ac:dyDescent="0.25">
      <c r="A241" s="61"/>
      <c r="B241" s="272"/>
      <c r="C241" s="91"/>
      <c r="D241" s="418"/>
      <c r="E241" s="407"/>
      <c r="F241" s="94"/>
      <c r="G241" s="136" t="str">
        <f>IF(ISNUMBER(VLOOKUP(LEFT(D241,3),'Material editor'!$D$11:$H$110,'Material editor'!$E$8,0)),VLOOKUP(LEFT(D241,3),'Material editor'!$D$11:$H$110,'Material editor'!$E$8,0),"")</f>
        <v/>
      </c>
      <c r="H241" s="137" t="str">
        <f>IF(ISNUMBER(VLOOKUP(LEFT(D241,3),'Material editor'!$D$11:$H$110,'Material editor'!$F$8,0)),VLOOKUP(LEFT(D241,3),'Material editor'!$D$11:$H$110,'Material editor'!$F$8,0),"")</f>
        <v/>
      </c>
      <c r="I241" s="137" t="str">
        <f>IF(ISNUMBER(VLOOKUP(LEFT(D241,3),'Material editor'!$D$11:$H$110,'Material editor'!$G$8,0)),VLOOKUP(LEFT(D241,3),'Material editor'!$D$11:$H$110,'Material editor'!$G$8,0),"")</f>
        <v/>
      </c>
      <c r="J241" s="137" t="str">
        <f>IF(ISNUMBER(VLOOKUP(LEFT(D241,3),'Material editor'!$D$11:$H$110,'Material editor'!$H$8,0)),VLOOKUP(LEFT(D241,3),'Material editor'!$D$11:$H$110,'Material editor'!$H$8,0),"")</f>
        <v/>
      </c>
      <c r="K241" s="418"/>
      <c r="L241" s="407"/>
      <c r="M241" s="94"/>
      <c r="N241" s="136" t="str">
        <f>IF(ISNUMBER(VLOOKUP(LEFT(K241,3),'Material editor'!$D$11:$H$110,'Material editor'!$E$8,0)),VLOOKUP(LEFT(K241,3),'Material editor'!$D$11:$H$110,'Material editor'!$E$8,0),"")</f>
        <v/>
      </c>
      <c r="O241" s="137" t="str">
        <f>IF(ISNUMBER(VLOOKUP(LEFT(K241,3),'Material editor'!$D$11:$H$110,'Material editor'!$F$8,0)),VLOOKUP(LEFT(K241,3),'Material editor'!$D$11:$H$110,'Material editor'!$F$8,0),"")</f>
        <v/>
      </c>
      <c r="P241" s="137" t="str">
        <f>IF(ISNUMBER(VLOOKUP(LEFT(K241,3),'Material editor'!$D$11:$H$110,'Material editor'!$G$8,0)),VLOOKUP(LEFT(K241,3),'Material editor'!$D$11:$H$110,'Material editor'!$G$8,0),"")</f>
        <v/>
      </c>
      <c r="Q241" s="137" t="str">
        <f>IF(ISNUMBER(VLOOKUP(LEFT(K241,3),'Material editor'!$D$11:$H$110,'Material editor'!$H$8,0)),VLOOKUP(LEFT(K241,3),'Material editor'!$D$11:$H$110,'Material editor'!$H$8,0),"")</f>
        <v/>
      </c>
      <c r="R241" s="418"/>
      <c r="S241" s="407"/>
      <c r="T241" s="94"/>
      <c r="U241" s="136" t="str">
        <f>IF(ISNUMBER(VLOOKUP(LEFT(R241,3),'Material editor'!$D$11:$H$110,'Material editor'!$E$8,0)),VLOOKUP(LEFT(R241,3),'Material editor'!$D$11:$H$110,'Material editor'!$E$8,0),"")</f>
        <v/>
      </c>
      <c r="V241" s="137" t="str">
        <f>IF(ISNUMBER(VLOOKUP(LEFT(R241,3),'Material editor'!$D$11:$H$110,'Material editor'!$F$8,0)),VLOOKUP(LEFT(R241,3),'Material editor'!$D$11:$H$110,'Material editor'!$F$8,0),"")</f>
        <v/>
      </c>
      <c r="W241" s="137" t="str">
        <f>IF(ISNUMBER(VLOOKUP(LEFT(R241,3),'Material editor'!$D$11:$H$110,'Material editor'!$G$8,0)),VLOOKUP(LEFT(R241,3),'Material editor'!$D$11:$H$110,'Material editor'!$G$8,0),"")</f>
        <v/>
      </c>
      <c r="X241" s="137" t="str">
        <f>IF(ISNUMBER(VLOOKUP(LEFT(R241,3),'Material editor'!$D$11:$H$110,'Material editor'!$H$8,0)),VLOOKUP(LEFT(R241,3),'Material editor'!$D$11:$H$110,'Material editor'!$H$8,0),"")</f>
        <v/>
      </c>
      <c r="Y241" s="74"/>
      <c r="Z241" s="94"/>
      <c r="AA241" s="8"/>
      <c r="AB241" s="61"/>
      <c r="AC241" s="65"/>
      <c r="AD241" s="65"/>
      <c r="AE241" s="95">
        <f t="shared" si="170"/>
        <v>0</v>
      </c>
      <c r="AF241" s="95">
        <f t="shared" si="171"/>
        <v>0</v>
      </c>
      <c r="AG241" s="95">
        <f t="shared" si="172"/>
        <v>0</v>
      </c>
      <c r="AH241" s="65"/>
      <c r="AI241" s="95">
        <f t="shared" si="173"/>
        <v>0</v>
      </c>
      <c r="AJ241" s="95">
        <f t="shared" si="174"/>
        <v>0</v>
      </c>
      <c r="AK241" s="95">
        <f t="shared" si="175"/>
        <v>0</v>
      </c>
      <c r="AL241" s="65"/>
      <c r="AM241" s="96">
        <f t="shared" ref="AM241:AO241" si="182">AM240</f>
        <v>1</v>
      </c>
      <c r="AN241" s="96">
        <f t="shared" si="182"/>
        <v>0</v>
      </c>
      <c r="AO241" s="96">
        <f t="shared" si="182"/>
        <v>0</v>
      </c>
      <c r="AP241" s="65">
        <f t="shared" si="176"/>
        <v>0</v>
      </c>
      <c r="AQ241" s="65"/>
      <c r="AR241" s="65"/>
      <c r="AS241" s="65"/>
      <c r="AT241" s="95">
        <f>IF(ISNUMBER(H241),H241*F241*Z241/1000*Balance!$H$13/J241,0)</f>
        <v>0</v>
      </c>
      <c r="AU241" s="95">
        <f>IF(ISTEXT(K241),IF(ISNUMBER(O241),O241*M241*Z241/1000*Balance!$H$13/Q241,0),AT241)</f>
        <v>0</v>
      </c>
      <c r="AV241" s="95">
        <f>IF(ISTEXT(R241),IF(ISNUMBER(V241),V241*T241*Z241/1000*Balance!$H$13/X241,0),AT241)</f>
        <v>0</v>
      </c>
      <c r="AW241" s="65"/>
      <c r="AX241" s="95">
        <f>AT241*AX235</f>
        <v>0</v>
      </c>
      <c r="AY241" s="95">
        <f>AU241*AY235</f>
        <v>0</v>
      </c>
      <c r="AZ241" s="95">
        <f>AV241*AZ235</f>
        <v>0</v>
      </c>
      <c r="BA241" s="95">
        <f t="shared" si="178"/>
        <v>0</v>
      </c>
      <c r="BB241" s="65"/>
      <c r="BC241" s="95">
        <f>IF(ISNUMBER(I241),I241*F241*Z241/1000*Balance!$H$13/J241,0)</f>
        <v>0</v>
      </c>
      <c r="BD241" s="95">
        <f>IF(ISTEXT(K241),IF(ISNUMBER(P241),P241*M241*Z241/1000*Balance!$H$13/Q241,0),BC241)</f>
        <v>0</v>
      </c>
      <c r="BE241" s="95">
        <f>IF(ISTEXT(R241),IF(ISNUMBER(W241),W241*T241*Z241/1000*Balance!$H$13/X241,0),BC241)</f>
        <v>0</v>
      </c>
      <c r="BF241" s="65"/>
      <c r="BG241" s="95">
        <f>BC241*BG235</f>
        <v>0</v>
      </c>
      <c r="BH241" s="95">
        <f>BD241*BH235</f>
        <v>0</v>
      </c>
      <c r="BI241" s="95">
        <f>BE241*BI235</f>
        <v>0</v>
      </c>
      <c r="BJ241" s="95">
        <f t="shared" si="179"/>
        <v>0</v>
      </c>
      <c r="BK241" s="65"/>
      <c r="BL241" s="65"/>
      <c r="BM241" s="65"/>
    </row>
    <row r="242" spans="1:65" outlineLevel="1" x14ac:dyDescent="0.25">
      <c r="A242" s="61"/>
      <c r="B242" s="272"/>
      <c r="C242" s="91"/>
      <c r="D242" s="418"/>
      <c r="E242" s="407"/>
      <c r="F242" s="94"/>
      <c r="G242" s="136" t="str">
        <f>IF(ISNUMBER(VLOOKUP(LEFT(D242,3),'Material editor'!$D$11:$H$110,'Material editor'!$E$8,0)),VLOOKUP(LEFT(D242,3),'Material editor'!$D$11:$H$110,'Material editor'!$E$8,0),"")</f>
        <v/>
      </c>
      <c r="H242" s="137" t="str">
        <f>IF(ISNUMBER(VLOOKUP(LEFT(D242,3),'Material editor'!$D$11:$H$110,'Material editor'!$F$8,0)),VLOOKUP(LEFT(D242,3),'Material editor'!$D$11:$H$110,'Material editor'!$F$8,0),"")</f>
        <v/>
      </c>
      <c r="I242" s="137" t="str">
        <f>IF(ISNUMBER(VLOOKUP(LEFT(D242,3),'Material editor'!$D$11:$H$110,'Material editor'!$G$8,0)),VLOOKUP(LEFT(D242,3),'Material editor'!$D$11:$H$110,'Material editor'!$G$8,0),"")</f>
        <v/>
      </c>
      <c r="J242" s="137" t="str">
        <f>IF(ISNUMBER(VLOOKUP(LEFT(D242,3),'Material editor'!$D$11:$H$110,'Material editor'!$H$8,0)),VLOOKUP(LEFT(D242,3),'Material editor'!$D$11:$H$110,'Material editor'!$H$8,0),"")</f>
        <v/>
      </c>
      <c r="K242" s="418"/>
      <c r="L242" s="407"/>
      <c r="M242" s="94"/>
      <c r="N242" s="136" t="str">
        <f>IF(ISNUMBER(VLOOKUP(LEFT(K242,3),'Material editor'!$D$11:$H$110,'Material editor'!$E$8,0)),VLOOKUP(LEFT(K242,3),'Material editor'!$D$11:$H$110,'Material editor'!$E$8,0),"")</f>
        <v/>
      </c>
      <c r="O242" s="137" t="str">
        <f>IF(ISNUMBER(VLOOKUP(LEFT(K242,3),'Material editor'!$D$11:$H$110,'Material editor'!$F$8,0)),VLOOKUP(LEFT(K242,3),'Material editor'!$D$11:$H$110,'Material editor'!$F$8,0),"")</f>
        <v/>
      </c>
      <c r="P242" s="137" t="str">
        <f>IF(ISNUMBER(VLOOKUP(LEFT(K242,3),'Material editor'!$D$11:$H$110,'Material editor'!$G$8,0)),VLOOKUP(LEFT(K242,3),'Material editor'!$D$11:$H$110,'Material editor'!$G$8,0),"")</f>
        <v/>
      </c>
      <c r="Q242" s="137" t="str">
        <f>IF(ISNUMBER(VLOOKUP(LEFT(K242,3),'Material editor'!$D$11:$H$110,'Material editor'!$H$8,0)),VLOOKUP(LEFT(K242,3),'Material editor'!$D$11:$H$110,'Material editor'!$H$8,0),"")</f>
        <v/>
      </c>
      <c r="R242" s="418"/>
      <c r="S242" s="407"/>
      <c r="T242" s="94"/>
      <c r="U242" s="136" t="str">
        <f>IF(ISNUMBER(VLOOKUP(LEFT(R242,3),'Material editor'!$D$11:$H$110,'Material editor'!$E$8,0)),VLOOKUP(LEFT(R242,3),'Material editor'!$D$11:$H$110,'Material editor'!$E$8,0),"")</f>
        <v/>
      </c>
      <c r="V242" s="137" t="str">
        <f>IF(ISNUMBER(VLOOKUP(LEFT(R242,3),'Material editor'!$D$11:$H$110,'Material editor'!$F$8,0)),VLOOKUP(LEFT(R242,3),'Material editor'!$D$11:$H$110,'Material editor'!$F$8,0),"")</f>
        <v/>
      </c>
      <c r="W242" s="137" t="str">
        <f>IF(ISNUMBER(VLOOKUP(LEFT(R242,3),'Material editor'!$D$11:$H$110,'Material editor'!$G$8,0)),VLOOKUP(LEFT(R242,3),'Material editor'!$D$11:$H$110,'Material editor'!$G$8,0),"")</f>
        <v/>
      </c>
      <c r="X242" s="137" t="str">
        <f>IF(ISNUMBER(VLOOKUP(LEFT(R242,3),'Material editor'!$D$11:$H$110,'Material editor'!$H$8,0)),VLOOKUP(LEFT(R242,3),'Material editor'!$D$11:$H$110,'Material editor'!$H$8,0),"")</f>
        <v/>
      </c>
      <c r="Y242" s="74"/>
      <c r="Z242" s="94"/>
      <c r="AA242" s="8"/>
      <c r="AB242" s="61"/>
      <c r="AC242" s="65"/>
      <c r="AD242" s="65"/>
      <c r="AE242" s="95">
        <f t="shared" si="170"/>
        <v>0</v>
      </c>
      <c r="AF242" s="95">
        <f t="shared" si="171"/>
        <v>0</v>
      </c>
      <c r="AG242" s="95">
        <f t="shared" si="172"/>
        <v>0</v>
      </c>
      <c r="AH242" s="65"/>
      <c r="AI242" s="95">
        <f t="shared" si="173"/>
        <v>0</v>
      </c>
      <c r="AJ242" s="95">
        <f t="shared" si="174"/>
        <v>0</v>
      </c>
      <c r="AK242" s="95">
        <f t="shared" si="175"/>
        <v>0</v>
      </c>
      <c r="AL242" s="65"/>
      <c r="AM242" s="96">
        <f t="shared" ref="AM242:AO242" si="183">AM241</f>
        <v>1</v>
      </c>
      <c r="AN242" s="96">
        <f t="shared" si="183"/>
        <v>0</v>
      </c>
      <c r="AO242" s="96">
        <f t="shared" si="183"/>
        <v>0</v>
      </c>
      <c r="AP242" s="65">
        <f t="shared" si="176"/>
        <v>0</v>
      </c>
      <c r="AQ242" s="65"/>
      <c r="AR242" s="65"/>
      <c r="AS242" s="66"/>
      <c r="AT242" s="95">
        <f>IF(ISNUMBER(H242),H242*F242*Z242/1000*Balance!$H$13/J242,0)</f>
        <v>0</v>
      </c>
      <c r="AU242" s="95">
        <f>IF(ISTEXT(K242),IF(ISNUMBER(O242),O242*M242*Z242/1000*Balance!$H$13/Q242,0),AT242)</f>
        <v>0</v>
      </c>
      <c r="AV242" s="95">
        <f>IF(ISTEXT(R242),IF(ISNUMBER(V242),V242*T242*Z242/1000*Balance!$H$13/X242,0),AT242)</f>
        <v>0</v>
      </c>
      <c r="AW242" s="66"/>
      <c r="AX242" s="95">
        <f>AT242*AX235</f>
        <v>0</v>
      </c>
      <c r="AY242" s="95">
        <f>AU242*AY235</f>
        <v>0</v>
      </c>
      <c r="AZ242" s="95">
        <f>AV242*AZ235</f>
        <v>0</v>
      </c>
      <c r="BA242" s="95">
        <f t="shared" si="178"/>
        <v>0</v>
      </c>
      <c r="BB242" s="66"/>
      <c r="BC242" s="95">
        <f>IF(ISNUMBER(I242),I242*F242*Z242/1000*Balance!$H$13/J242,0)</f>
        <v>0</v>
      </c>
      <c r="BD242" s="95">
        <f>IF(ISTEXT(K242),IF(ISNUMBER(P242),P242*M242*Z242/1000*Balance!$H$13/Q242,0),BC242)</f>
        <v>0</v>
      </c>
      <c r="BE242" s="95">
        <f>IF(ISTEXT(R242),IF(ISNUMBER(W242),W242*T242*Z242/1000*Balance!$H$13/X242,0),BC242)</f>
        <v>0</v>
      </c>
      <c r="BF242" s="66"/>
      <c r="BG242" s="95">
        <f>BC242*BG235</f>
        <v>0</v>
      </c>
      <c r="BH242" s="95">
        <f>BD242*BH235</f>
        <v>0</v>
      </c>
      <c r="BI242" s="95">
        <f>BE242*BI235</f>
        <v>0</v>
      </c>
      <c r="BJ242" s="95">
        <f t="shared" si="179"/>
        <v>0</v>
      </c>
      <c r="BK242" s="66"/>
      <c r="BL242" s="66"/>
      <c r="BM242" s="66"/>
    </row>
    <row r="243" spans="1:65" outlineLevel="1" x14ac:dyDescent="0.25">
      <c r="A243" s="61"/>
      <c r="B243" s="272"/>
      <c r="C243" s="91"/>
      <c r="D243" s="418"/>
      <c r="E243" s="407"/>
      <c r="F243" s="94"/>
      <c r="G243" s="136" t="str">
        <f>IF(ISNUMBER(VLOOKUP(LEFT(D243,3),'Material editor'!$D$11:$H$110,'Material editor'!$E$8,0)),VLOOKUP(LEFT(D243,3),'Material editor'!$D$11:$H$110,'Material editor'!$E$8,0),"")</f>
        <v/>
      </c>
      <c r="H243" s="137" t="str">
        <f>IF(ISNUMBER(VLOOKUP(LEFT(D243,3),'Material editor'!$D$11:$H$110,'Material editor'!$F$8,0)),VLOOKUP(LEFT(D243,3),'Material editor'!$D$11:$H$110,'Material editor'!$F$8,0),"")</f>
        <v/>
      </c>
      <c r="I243" s="137" t="str">
        <f>IF(ISNUMBER(VLOOKUP(LEFT(D243,3),'Material editor'!$D$11:$H$110,'Material editor'!$G$8,0)),VLOOKUP(LEFT(D243,3),'Material editor'!$D$11:$H$110,'Material editor'!$G$8,0),"")</f>
        <v/>
      </c>
      <c r="J243" s="137" t="str">
        <f>IF(ISNUMBER(VLOOKUP(LEFT(D243,3),'Material editor'!$D$11:$H$110,'Material editor'!$H$8,0)),VLOOKUP(LEFT(D243,3),'Material editor'!$D$11:$H$110,'Material editor'!$H$8,0),"")</f>
        <v/>
      </c>
      <c r="K243" s="418"/>
      <c r="L243" s="407"/>
      <c r="M243" s="94"/>
      <c r="N243" s="136" t="str">
        <f>IF(ISNUMBER(VLOOKUP(LEFT(K243,3),'Material editor'!$D$11:$H$110,'Material editor'!$E$8,0)),VLOOKUP(LEFT(K243,3),'Material editor'!$D$11:$H$110,'Material editor'!$E$8,0),"")</f>
        <v/>
      </c>
      <c r="O243" s="137" t="str">
        <f>IF(ISNUMBER(VLOOKUP(LEFT(K243,3),'Material editor'!$D$11:$H$110,'Material editor'!$F$8,0)),VLOOKUP(LEFT(K243,3),'Material editor'!$D$11:$H$110,'Material editor'!$F$8,0),"")</f>
        <v/>
      </c>
      <c r="P243" s="137" t="str">
        <f>IF(ISNUMBER(VLOOKUP(LEFT(K243,3),'Material editor'!$D$11:$H$110,'Material editor'!$G$8,0)),VLOOKUP(LEFT(K243,3),'Material editor'!$D$11:$H$110,'Material editor'!$G$8,0),"")</f>
        <v/>
      </c>
      <c r="Q243" s="137" t="str">
        <f>IF(ISNUMBER(VLOOKUP(LEFT(K243,3),'Material editor'!$D$11:$H$110,'Material editor'!$H$8,0)),VLOOKUP(LEFT(K243,3),'Material editor'!$D$11:$H$110,'Material editor'!$H$8,0),"")</f>
        <v/>
      </c>
      <c r="R243" s="418"/>
      <c r="S243" s="407"/>
      <c r="T243" s="94"/>
      <c r="U243" s="136" t="str">
        <f>IF(ISNUMBER(VLOOKUP(LEFT(R243,3),'Material editor'!$D$11:$H$110,'Material editor'!$E$8,0)),VLOOKUP(LEFT(R243,3),'Material editor'!$D$11:$H$110,'Material editor'!$E$8,0),"")</f>
        <v/>
      </c>
      <c r="V243" s="137" t="str">
        <f>IF(ISNUMBER(VLOOKUP(LEFT(R243,3),'Material editor'!$D$11:$H$110,'Material editor'!$F$8,0)),VLOOKUP(LEFT(R243,3),'Material editor'!$D$11:$H$110,'Material editor'!$F$8,0),"")</f>
        <v/>
      </c>
      <c r="W243" s="137" t="str">
        <f>IF(ISNUMBER(VLOOKUP(LEFT(R243,3),'Material editor'!$D$11:$H$110,'Material editor'!$G$8,0)),VLOOKUP(LEFT(R243,3),'Material editor'!$D$11:$H$110,'Material editor'!$G$8,0),"")</f>
        <v/>
      </c>
      <c r="X243" s="137" t="str">
        <f>IF(ISNUMBER(VLOOKUP(LEFT(R243,3),'Material editor'!$D$11:$H$110,'Material editor'!$H$8,0)),VLOOKUP(LEFT(R243,3),'Material editor'!$D$11:$H$110,'Material editor'!$H$8,0),"")</f>
        <v/>
      </c>
      <c r="Y243" s="74"/>
      <c r="Z243" s="94"/>
      <c r="AA243" s="8"/>
      <c r="AB243" s="61"/>
      <c r="AC243" s="65"/>
      <c r="AD243" s="65"/>
      <c r="AE243" s="95">
        <f t="shared" si="170"/>
        <v>0</v>
      </c>
      <c r="AF243" s="95">
        <f t="shared" si="171"/>
        <v>0</v>
      </c>
      <c r="AG243" s="95">
        <f t="shared" si="172"/>
        <v>0</v>
      </c>
      <c r="AH243" s="65"/>
      <c r="AI243" s="95">
        <f t="shared" si="173"/>
        <v>0</v>
      </c>
      <c r="AJ243" s="95">
        <f t="shared" si="174"/>
        <v>0</v>
      </c>
      <c r="AK243" s="95">
        <f t="shared" si="175"/>
        <v>0</v>
      </c>
      <c r="AL243" s="65"/>
      <c r="AM243" s="96">
        <f t="shared" ref="AM243:AO243" si="184">AM242</f>
        <v>1</v>
      </c>
      <c r="AN243" s="96">
        <f t="shared" si="184"/>
        <v>0</v>
      </c>
      <c r="AO243" s="96">
        <f t="shared" si="184"/>
        <v>0</v>
      </c>
      <c r="AP243" s="65">
        <f t="shared" si="176"/>
        <v>0</v>
      </c>
      <c r="AQ243" s="65"/>
      <c r="AR243" s="65"/>
      <c r="AS243" s="66"/>
      <c r="AT243" s="95">
        <f>IF(ISNUMBER(H243),H243*F243*Z243/1000*Balance!$H$13/J243,0)</f>
        <v>0</v>
      </c>
      <c r="AU243" s="95">
        <f>IF(ISTEXT(K243),IF(ISNUMBER(O243),O243*M243*Z243/1000*Balance!$H$13/Q243,0),AT243)</f>
        <v>0</v>
      </c>
      <c r="AV243" s="95">
        <f>IF(ISTEXT(R243),IF(ISNUMBER(V243),V243*T243*Z243/1000*Balance!$H$13/X243,0),AT243)</f>
        <v>0</v>
      </c>
      <c r="AW243" s="66"/>
      <c r="AX243" s="95">
        <f>AT243*AX235</f>
        <v>0</v>
      </c>
      <c r="AY243" s="95">
        <f>AU243*AY235</f>
        <v>0</v>
      </c>
      <c r="AZ243" s="95">
        <f>AV243*AZ235</f>
        <v>0</v>
      </c>
      <c r="BA243" s="95">
        <f t="shared" si="178"/>
        <v>0</v>
      </c>
      <c r="BB243" s="66"/>
      <c r="BC243" s="95">
        <f>IF(ISNUMBER(I243),I243*F243*Z243/1000*Balance!$H$13/J243,0)</f>
        <v>0</v>
      </c>
      <c r="BD243" s="95">
        <f>IF(ISTEXT(K243),IF(ISNUMBER(P243),P243*M243*Z243/1000*Balance!$H$13/Q243,0),BC243)</f>
        <v>0</v>
      </c>
      <c r="BE243" s="95">
        <f>IF(ISTEXT(R243),IF(ISNUMBER(W243),W243*T243*Z243/1000*Balance!$H$13/X243,0),BC243)</f>
        <v>0</v>
      </c>
      <c r="BF243" s="66"/>
      <c r="BG243" s="95">
        <f>BC243*BG235</f>
        <v>0</v>
      </c>
      <c r="BH243" s="95">
        <f>BD243*BH235</f>
        <v>0</v>
      </c>
      <c r="BI243" s="95">
        <f>BE243*BI235</f>
        <v>0</v>
      </c>
      <c r="BJ243" s="95">
        <f t="shared" si="179"/>
        <v>0</v>
      </c>
      <c r="BK243" s="66"/>
      <c r="BL243" s="66"/>
      <c r="BM243" s="66"/>
    </row>
    <row r="244" spans="1:65" outlineLevel="1" x14ac:dyDescent="0.25">
      <c r="A244" s="61"/>
      <c r="B244" s="272"/>
      <c r="C244" s="91"/>
      <c r="D244" s="418"/>
      <c r="E244" s="407"/>
      <c r="F244" s="94"/>
      <c r="G244" s="136" t="str">
        <f>IF(ISNUMBER(VLOOKUP(LEFT(D244,3),'Material editor'!$D$11:$H$110,'Material editor'!$E$8,0)),VLOOKUP(LEFT(D244,3),'Material editor'!$D$11:$H$110,'Material editor'!$E$8,0),"")</f>
        <v/>
      </c>
      <c r="H244" s="137" t="str">
        <f>IF(ISNUMBER(VLOOKUP(LEFT(D244,3),'Material editor'!$D$11:$H$110,'Material editor'!$F$8,0)),VLOOKUP(LEFT(D244,3),'Material editor'!$D$11:$H$110,'Material editor'!$F$8,0),"")</f>
        <v/>
      </c>
      <c r="I244" s="137" t="str">
        <f>IF(ISNUMBER(VLOOKUP(LEFT(D244,3),'Material editor'!$D$11:$H$110,'Material editor'!$G$8,0)),VLOOKUP(LEFT(D244,3),'Material editor'!$D$11:$H$110,'Material editor'!$G$8,0),"")</f>
        <v/>
      </c>
      <c r="J244" s="137" t="str">
        <f>IF(ISNUMBER(VLOOKUP(LEFT(D244,3),'Material editor'!$D$11:$H$110,'Material editor'!$H$8,0)),VLOOKUP(LEFT(D244,3),'Material editor'!$D$11:$H$110,'Material editor'!$H$8,0),"")</f>
        <v/>
      </c>
      <c r="K244" s="418"/>
      <c r="L244" s="407"/>
      <c r="M244" s="94"/>
      <c r="N244" s="136" t="str">
        <f>IF(ISNUMBER(VLOOKUP(LEFT(K244,3),'Material editor'!$D$11:$H$110,'Material editor'!$E$8,0)),VLOOKUP(LEFT(K244,3),'Material editor'!$D$11:$H$110,'Material editor'!$E$8,0),"")</f>
        <v/>
      </c>
      <c r="O244" s="137" t="str">
        <f>IF(ISNUMBER(VLOOKUP(LEFT(K244,3),'Material editor'!$D$11:$H$110,'Material editor'!$F$8,0)),VLOOKUP(LEFT(K244,3),'Material editor'!$D$11:$H$110,'Material editor'!$F$8,0),"")</f>
        <v/>
      </c>
      <c r="P244" s="137" t="str">
        <f>IF(ISNUMBER(VLOOKUP(LEFT(K244,3),'Material editor'!$D$11:$H$110,'Material editor'!$G$8,0)),VLOOKUP(LEFT(K244,3),'Material editor'!$D$11:$H$110,'Material editor'!$G$8,0),"")</f>
        <v/>
      </c>
      <c r="Q244" s="137" t="str">
        <f>IF(ISNUMBER(VLOOKUP(LEFT(K244,3),'Material editor'!$D$11:$H$110,'Material editor'!$H$8,0)),VLOOKUP(LEFT(K244,3),'Material editor'!$D$11:$H$110,'Material editor'!$H$8,0),"")</f>
        <v/>
      </c>
      <c r="R244" s="418"/>
      <c r="S244" s="407"/>
      <c r="T244" s="94"/>
      <c r="U244" s="136" t="str">
        <f>IF(ISNUMBER(VLOOKUP(LEFT(R244,3),'Material editor'!$D$11:$H$110,'Material editor'!$E$8,0)),VLOOKUP(LEFT(R244,3),'Material editor'!$D$11:$H$110,'Material editor'!$E$8,0),"")</f>
        <v/>
      </c>
      <c r="V244" s="137" t="str">
        <f>IF(ISNUMBER(VLOOKUP(LEFT(R244,3),'Material editor'!$D$11:$H$110,'Material editor'!$F$8,0)),VLOOKUP(LEFT(R244,3),'Material editor'!$D$11:$H$110,'Material editor'!$F$8,0),"")</f>
        <v/>
      </c>
      <c r="W244" s="137" t="str">
        <f>IF(ISNUMBER(VLOOKUP(LEFT(R244,3),'Material editor'!$D$11:$H$110,'Material editor'!$G$8,0)),VLOOKUP(LEFT(R244,3),'Material editor'!$D$11:$H$110,'Material editor'!$G$8,0),"")</f>
        <v/>
      </c>
      <c r="X244" s="137" t="str">
        <f>IF(ISNUMBER(VLOOKUP(LEFT(R244,3),'Material editor'!$D$11:$H$110,'Material editor'!$H$8,0)),VLOOKUP(LEFT(R244,3),'Material editor'!$D$11:$H$110,'Material editor'!$H$8,0),"")</f>
        <v/>
      </c>
      <c r="Y244" s="74"/>
      <c r="Z244" s="94"/>
      <c r="AA244" s="8"/>
      <c r="AB244" s="61"/>
      <c r="AC244" s="65"/>
      <c r="AD244" s="65"/>
      <c r="AE244" s="95">
        <f t="shared" si="170"/>
        <v>0</v>
      </c>
      <c r="AF244" s="95">
        <f t="shared" si="171"/>
        <v>0</v>
      </c>
      <c r="AG244" s="95">
        <f t="shared" si="172"/>
        <v>0</v>
      </c>
      <c r="AH244" s="65"/>
      <c r="AI244" s="95">
        <f>IF(ISNUMBER(G244),G244,0)</f>
        <v>0</v>
      </c>
      <c r="AJ244" s="95">
        <f t="shared" si="174"/>
        <v>0</v>
      </c>
      <c r="AK244" s="95">
        <f t="shared" si="175"/>
        <v>0</v>
      </c>
      <c r="AL244" s="65"/>
      <c r="AM244" s="96">
        <f t="shared" ref="AM244:AO244" si="185">AM243</f>
        <v>1</v>
      </c>
      <c r="AN244" s="96">
        <f t="shared" si="185"/>
        <v>0</v>
      </c>
      <c r="AO244" s="96">
        <f t="shared" si="185"/>
        <v>0</v>
      </c>
      <c r="AP244" s="65">
        <f t="shared" si="176"/>
        <v>0</v>
      </c>
      <c r="AQ244" s="65"/>
      <c r="AR244" s="65"/>
      <c r="AS244" s="66"/>
      <c r="AT244" s="95">
        <f>IF(ISNUMBER(H244),H244*F244*Z244/1000*Balance!$H$13/J244,0)</f>
        <v>0</v>
      </c>
      <c r="AU244" s="95">
        <f>IF(ISTEXT(K244),IF(ISNUMBER(O244),O244*M244*Z244/1000*Balance!$H$13/Q244,0),AT244)</f>
        <v>0</v>
      </c>
      <c r="AV244" s="95">
        <f>IF(ISTEXT(R244),IF(ISNUMBER(V244),V244*T244*Z244/1000*Balance!$H$13/X244,0),AT244)</f>
        <v>0</v>
      </c>
      <c r="AW244" s="66"/>
      <c r="AX244" s="95">
        <f>AT244*AX235</f>
        <v>0</v>
      </c>
      <c r="AY244" s="95">
        <f>AU244*AY235</f>
        <v>0</v>
      </c>
      <c r="AZ244" s="95">
        <f>AV244*AZ235</f>
        <v>0</v>
      </c>
      <c r="BA244" s="95">
        <f t="shared" si="178"/>
        <v>0</v>
      </c>
      <c r="BB244" s="66"/>
      <c r="BC244" s="95">
        <f>IF(ISNUMBER(I244),I244*F244*Z244/1000*Balance!$H$13/J244,0)</f>
        <v>0</v>
      </c>
      <c r="BD244" s="95">
        <f>IF(ISTEXT(K244),IF(ISNUMBER(P244),P244*M244*Z244/1000*Balance!$H$13/Q244,0),BC244)</f>
        <v>0</v>
      </c>
      <c r="BE244" s="95">
        <f>IF(ISTEXT(R244),IF(ISNUMBER(W244),W244*T244*Z244/1000*Balance!$H$13/X244,0),BC244)</f>
        <v>0</v>
      </c>
      <c r="BF244" s="66"/>
      <c r="BG244" s="95">
        <f>BC244*BG235</f>
        <v>0</v>
      </c>
      <c r="BH244" s="95">
        <f>BD244*BH235</f>
        <v>0</v>
      </c>
      <c r="BI244" s="95">
        <f>BE244*BI235</f>
        <v>0</v>
      </c>
      <c r="BJ244" s="95">
        <f t="shared" si="179"/>
        <v>0</v>
      </c>
      <c r="BK244" s="66"/>
      <c r="BL244" s="66"/>
      <c r="BM244" s="66"/>
    </row>
    <row r="245" spans="1:65" outlineLevel="1" x14ac:dyDescent="0.25">
      <c r="A245" s="61"/>
      <c r="B245" s="272"/>
      <c r="C245" s="77"/>
      <c r="D245" s="125">
        <f>MAX(0,1-K245-R245)</f>
        <v>1</v>
      </c>
      <c r="E245" s="126" t="s">
        <v>141</v>
      </c>
      <c r="F245" s="126"/>
      <c r="H245" s="97"/>
      <c r="I245" s="97"/>
      <c r="J245" s="97"/>
      <c r="K245" s="100"/>
      <c r="L245" s="126" t="s">
        <v>138</v>
      </c>
      <c r="M245" s="126"/>
      <c r="R245" s="100"/>
      <c r="S245" s="126" t="s">
        <v>139</v>
      </c>
      <c r="T245" s="126"/>
      <c r="V245" s="67"/>
      <c r="Y245" s="74"/>
      <c r="Z245" s="5" t="s">
        <v>140</v>
      </c>
      <c r="AA245" s="8"/>
      <c r="AB245" s="61"/>
      <c r="AC245" s="98"/>
      <c r="AD245" s="98" t="s">
        <v>124</v>
      </c>
      <c r="AE245" s="99">
        <f>IF(ISNUMBER($G237),1/($D232+SUM(AE237:AE244)+$D233),0)</f>
        <v>0.14822831866735683</v>
      </c>
      <c r="AF245" s="99">
        <f>IF(ISNUMBER($G237),1/($D232+SUM(AF237:AF244)+$D233),0)</f>
        <v>0.14822831866735683</v>
      </c>
      <c r="AG245" s="99">
        <f>IF(ISNUMBER($G237),1/($D232+SUM(AG237:AG244)+$D233),0)</f>
        <v>0.14822831866735683</v>
      </c>
      <c r="AH245" s="65"/>
      <c r="AI245" s="65"/>
      <c r="AJ245" s="65"/>
      <c r="AK245" s="65"/>
      <c r="AL245" s="65"/>
      <c r="AM245" s="65"/>
      <c r="AN245" s="65"/>
      <c r="AO245" s="65"/>
      <c r="AP245" s="65"/>
      <c r="AQ245" s="65"/>
      <c r="AR245" s="65"/>
      <c r="AS245" s="66"/>
      <c r="AT245" s="66"/>
      <c r="AU245" s="66"/>
      <c r="AV245" s="66"/>
      <c r="AW245" s="66"/>
      <c r="AX245" s="66"/>
      <c r="AY245" s="66"/>
      <c r="AZ245" s="66"/>
      <c r="BA245" s="66"/>
      <c r="BB245" s="66"/>
      <c r="BC245" s="66"/>
      <c r="BD245" s="66"/>
      <c r="BE245" s="66"/>
      <c r="BF245" s="66"/>
      <c r="BG245" s="66"/>
      <c r="BH245" s="66"/>
      <c r="BI245" s="66"/>
      <c r="BJ245" s="66"/>
      <c r="BK245" s="66"/>
      <c r="BL245" s="66"/>
      <c r="BM245" s="66"/>
    </row>
    <row r="246" spans="1:65" outlineLevel="1" x14ac:dyDescent="0.25">
      <c r="A246" s="61"/>
      <c r="B246" s="272"/>
      <c r="C246" s="77"/>
      <c r="D246" s="41"/>
      <c r="E246" s="116" t="s">
        <v>150</v>
      </c>
      <c r="F246" s="116"/>
      <c r="H246" s="68"/>
      <c r="I246" s="68"/>
      <c r="J246" s="68"/>
      <c r="K246" s="157" t="str">
        <f>IF(AE252&lt;=0.1,"","Der Fehler der U-Wert-Berechnung liegt möglicherweise über 10 %. Wärmebrückenberechnung?")</f>
        <v/>
      </c>
      <c r="L246" s="68"/>
      <c r="M246" s="68"/>
      <c r="N246" s="68"/>
      <c r="R246" s="5"/>
      <c r="S246" s="5"/>
      <c r="T246" s="5"/>
      <c r="U246" s="68"/>
      <c r="V246" s="68"/>
      <c r="X246" s="68"/>
      <c r="Y246" s="5"/>
      <c r="Z246" s="189">
        <f>IF(ISNUMBER(Z237),SUM(Z237:Z245)/10,"")</f>
        <v>49.2</v>
      </c>
      <c r="AA246" s="10" t="s">
        <v>8</v>
      </c>
      <c r="AB246" s="61"/>
      <c r="AC246" s="98"/>
      <c r="AD246" s="98" t="s">
        <v>125</v>
      </c>
      <c r="AE246" s="101">
        <f>1-SUM(AF246:AG246)</f>
        <v>1</v>
      </c>
      <c r="AF246" s="102">
        <f>K245</f>
        <v>0</v>
      </c>
      <c r="AG246" s="102">
        <f>R245</f>
        <v>0</v>
      </c>
      <c r="AH246" s="98"/>
      <c r="AI246" s="65"/>
      <c r="AJ246" s="65"/>
      <c r="AK246" s="65"/>
      <c r="AL246" s="65"/>
      <c r="AM246" s="65"/>
      <c r="AN246" s="65"/>
      <c r="AO246" s="65"/>
      <c r="AP246" s="65"/>
      <c r="AQ246" s="65"/>
      <c r="AR246" s="65" t="s">
        <v>393</v>
      </c>
      <c r="AS246" s="148"/>
      <c r="AT246" s="175" t="s">
        <v>393</v>
      </c>
      <c r="AU246" s="65" t="s">
        <v>366</v>
      </c>
      <c r="AV246" s="65" t="s">
        <v>355</v>
      </c>
      <c r="AW246" s="66"/>
      <c r="AX246" s="65" t="s">
        <v>394</v>
      </c>
      <c r="AY246" s="65" t="s">
        <v>356</v>
      </c>
      <c r="AZ246" s="66"/>
      <c r="BA246" s="66"/>
      <c r="BB246" s="66"/>
      <c r="BC246" s="66"/>
      <c r="BD246" s="66"/>
      <c r="BE246" s="66"/>
      <c r="BF246" s="66"/>
      <c r="BG246" s="66"/>
      <c r="BH246" s="66"/>
      <c r="BI246" s="66"/>
      <c r="BJ246" s="66"/>
      <c r="BK246" s="66"/>
      <c r="BL246" s="66"/>
      <c r="BM246" s="66"/>
    </row>
    <row r="247" spans="1:65" outlineLevel="1" x14ac:dyDescent="0.25">
      <c r="A247" s="61"/>
      <c r="B247" s="272"/>
      <c r="C247" s="77"/>
      <c r="D247" s="68"/>
      <c r="E247" s="68"/>
      <c r="F247" s="68"/>
      <c r="G247" s="68"/>
      <c r="H247" s="68"/>
      <c r="I247" s="68"/>
      <c r="J247" s="68"/>
      <c r="K247" s="68"/>
      <c r="L247" s="68"/>
      <c r="M247" s="68"/>
      <c r="N247" s="68"/>
      <c r="O247" s="68"/>
      <c r="P247" s="68"/>
      <c r="Q247" s="68"/>
      <c r="R247" s="68"/>
      <c r="T247" s="68"/>
      <c r="U247" s="68"/>
      <c r="V247" s="68"/>
      <c r="W247" s="68"/>
      <c r="X247" s="68"/>
      <c r="Y247" s="5"/>
      <c r="Z247" s="67"/>
      <c r="AA247" s="8"/>
      <c r="AB247" s="61"/>
      <c r="AC247" s="101"/>
      <c r="AD247" s="101"/>
      <c r="AE247" s="99"/>
      <c r="AF247" s="99"/>
      <c r="AG247" s="99"/>
      <c r="AH247" s="65"/>
      <c r="AI247" s="65"/>
      <c r="AJ247" s="65"/>
      <c r="AK247" s="65"/>
      <c r="AL247" s="65"/>
      <c r="AM247" s="65"/>
      <c r="AN247" s="65"/>
      <c r="AO247" s="65"/>
      <c r="AP247" s="65"/>
      <c r="AQ247" s="65"/>
      <c r="AR247" s="65"/>
      <c r="AS247" s="65"/>
      <c r="AT247" s="101" t="s">
        <v>367</v>
      </c>
      <c r="AU247" s="176">
        <f>Z248*F232*Balance!$H$6</f>
        <v>11.71003717472119</v>
      </c>
      <c r="AV247" s="176">
        <f>AU247*Balance!$H$13</f>
        <v>234.20074349442382</v>
      </c>
      <c r="AW247" s="66"/>
      <c r="AX247" s="66"/>
      <c r="AY247" s="66"/>
      <c r="AZ247" s="66"/>
      <c r="BA247" s="101" t="s">
        <v>351</v>
      </c>
      <c r="BB247" s="66"/>
      <c r="BC247" s="66"/>
      <c r="BD247" s="66"/>
      <c r="BE247" s="66"/>
      <c r="BF247" s="66"/>
      <c r="BG247" s="66"/>
      <c r="BH247" s="66"/>
      <c r="BI247" s="66"/>
      <c r="BJ247" s="66"/>
      <c r="BK247" s="66"/>
      <c r="BL247" s="66"/>
      <c r="BM247" s="66"/>
    </row>
    <row r="248" spans="1:65" ht="18" outlineLevel="1" x14ac:dyDescent="0.35">
      <c r="A248" s="61"/>
      <c r="B248" s="272"/>
      <c r="C248" s="77"/>
      <c r="H248" s="68"/>
      <c r="I248" s="68"/>
      <c r="J248" s="67"/>
      <c r="K248" s="192" t="s">
        <v>397</v>
      </c>
      <c r="L248" s="67"/>
      <c r="M248" s="67"/>
      <c r="N248" s="67"/>
      <c r="O248" s="67"/>
      <c r="P248" s="67"/>
      <c r="Q248" s="67"/>
      <c r="R248" s="14" t="s">
        <v>398</v>
      </c>
      <c r="U248" s="68"/>
      <c r="V248" s="68"/>
      <c r="W248" s="68"/>
      <c r="X248" s="68"/>
      <c r="Y248" s="127" t="s">
        <v>154</v>
      </c>
      <c r="Z248" s="193">
        <f>IF(ISNUMBER(G237),IF(AE252&lt;0.1,1/AE248,1/(AP248*1.1))+D246,"")</f>
        <v>0.14822831866735683</v>
      </c>
      <c r="AA248" s="8" t="s">
        <v>10</v>
      </c>
      <c r="AB248" s="61"/>
      <c r="AC248" s="101"/>
      <c r="AD248" s="101" t="s">
        <v>126</v>
      </c>
      <c r="AE248" s="95">
        <f>IF(ISNUMBER(G237),AVERAGE(AG248,AP248),0)</f>
        <v>6.7463492063492065</v>
      </c>
      <c r="AF248" s="101" t="s">
        <v>127</v>
      </c>
      <c r="AG248" s="95">
        <f>IF(ISNUMBER(G237),1/SUMPRODUCT(AE246:AG246,AE245:AG245),0)</f>
        <v>6.7463492063492065</v>
      </c>
      <c r="AH248" s="65"/>
      <c r="AI248" s="65"/>
      <c r="AJ248" s="65"/>
      <c r="AK248" s="65"/>
      <c r="AL248" s="103"/>
      <c r="AM248" s="65"/>
      <c r="AN248" s="65"/>
      <c r="AO248" s="101" t="s">
        <v>128</v>
      </c>
      <c r="AP248" s="95">
        <f>$D232+SUM(AP237:AP244)+$D233</f>
        <v>6.7463492063492057</v>
      </c>
      <c r="AQ248" s="65"/>
      <c r="AR248" s="65"/>
      <c r="AS248" s="152" t="str">
        <f>Data!$D$4</f>
        <v>Heat pump</v>
      </c>
      <c r="AT248" s="177" t="s">
        <v>374</v>
      </c>
      <c r="AU248" s="179">
        <f>AU247/(Balance!$H$17*Balance!$H$18*Balance!$H$19)*Balance!$H$22</f>
        <v>7.8066914498141262</v>
      </c>
      <c r="AV248" s="176">
        <f>AU248*Balance!$H$13</f>
        <v>156.13382899628252</v>
      </c>
      <c r="AW248" s="66"/>
      <c r="AX248" s="186">
        <f ca="1">AU247/(Balance!$H$17*Balance!$H$18*Balance!$H$19)*Balance!$G$22/1000</f>
        <v>1.4745972738537794</v>
      </c>
      <c r="AY248" s="176">
        <f ca="1">AX248*Balance!$H$13</f>
        <v>29.491945477075589</v>
      </c>
      <c r="AZ248" s="101"/>
      <c r="BA248" s="95">
        <f>SUM(BA237:BA244)</f>
        <v>46.177909529053856</v>
      </c>
      <c r="BB248" s="66" t="s">
        <v>355</v>
      </c>
      <c r="BC248" s="66"/>
      <c r="BD248" s="66"/>
      <c r="BE248" s="66"/>
      <c r="BF248" s="66"/>
      <c r="BG248" s="66"/>
      <c r="BH248" s="66"/>
      <c r="BI248" s="101" t="s">
        <v>149</v>
      </c>
      <c r="BJ248" s="95">
        <f>SUM(BJ237:BJ244)</f>
        <v>21.326447955252803</v>
      </c>
      <c r="BK248" s="66" t="s">
        <v>357</v>
      </c>
      <c r="BL248" s="66"/>
      <c r="BM248" s="66"/>
    </row>
    <row r="249" spans="1:65" ht="15.75" outlineLevel="1" x14ac:dyDescent="0.25">
      <c r="A249" s="61"/>
      <c r="B249" s="272"/>
      <c r="C249" s="77"/>
      <c r="D249" s="155"/>
      <c r="E249" s="188" t="s">
        <v>395</v>
      </c>
      <c r="F249" s="116"/>
      <c r="H249" s="68"/>
      <c r="I249" s="68"/>
      <c r="J249" s="67"/>
      <c r="K249" s="190">
        <f>BA248</f>
        <v>46.177909529053856</v>
      </c>
      <c r="L249" s="128" t="s">
        <v>400</v>
      </c>
      <c r="M249" s="67"/>
      <c r="N249" s="67"/>
      <c r="O249" s="67"/>
      <c r="P249" s="67"/>
      <c r="Q249" s="67"/>
      <c r="R249" s="190">
        <f>BJ248</f>
        <v>21.326447955252803</v>
      </c>
      <c r="S249" s="128" t="s">
        <v>399</v>
      </c>
      <c r="U249" s="68"/>
      <c r="V249" s="68"/>
      <c r="W249" s="68"/>
      <c r="X249" s="68"/>
      <c r="Y249" s="67"/>
      <c r="Z249" s="67"/>
      <c r="AA249" s="8"/>
      <c r="AB249" s="61"/>
      <c r="AC249" s="101"/>
      <c r="AD249" s="101"/>
      <c r="AE249" s="154"/>
      <c r="AF249" s="101"/>
      <c r="AG249" s="154"/>
      <c r="AH249" s="65"/>
      <c r="AI249" s="65"/>
      <c r="AJ249" s="65"/>
      <c r="AK249" s="65"/>
      <c r="AL249" s="103"/>
      <c r="AM249" s="65"/>
      <c r="AN249" s="65"/>
      <c r="AO249" s="101"/>
      <c r="AP249" s="154"/>
      <c r="AQ249" s="65"/>
      <c r="AR249" s="65"/>
      <c r="AS249" s="152" t="str">
        <f>Data!$D$5</f>
        <v>Direct electric</v>
      </c>
      <c r="AT249" s="177" t="s">
        <v>374</v>
      </c>
      <c r="AU249" s="179">
        <f>AU247/Balance!$H$18*Balance!$H$22</f>
        <v>21.078066914498145</v>
      </c>
      <c r="AV249" s="176">
        <f>AU249*Balance!$H$13</f>
        <v>421.56133828996292</v>
      </c>
      <c r="AW249" s="66"/>
      <c r="AX249" s="186">
        <f ca="1">AU247/Balance!$H$18*Balance!$G$22/1000</f>
        <v>3.9814126394052045</v>
      </c>
      <c r="AY249" s="176">
        <f ca="1">AX249*Balance!$H$13</f>
        <v>79.628252788104092</v>
      </c>
      <c r="AZ249" s="101"/>
      <c r="BA249" s="154"/>
      <c r="BB249" s="66"/>
      <c r="BC249" s="66"/>
      <c r="BD249" s="66"/>
      <c r="BE249" s="66"/>
      <c r="BF249" s="66"/>
      <c r="BG249" s="66"/>
      <c r="BH249" s="66"/>
      <c r="BI249" s="101"/>
      <c r="BJ249" s="154"/>
      <c r="BK249" s="66"/>
      <c r="BL249" s="66"/>
      <c r="BM249" s="66"/>
    </row>
    <row r="250" spans="1:65" ht="15.75" outlineLevel="1" x14ac:dyDescent="0.25">
      <c r="A250" s="61"/>
      <c r="B250" s="272"/>
      <c r="C250" s="77"/>
      <c r="D250" s="155"/>
      <c r="E250" s="188" t="s">
        <v>396</v>
      </c>
      <c r="F250" s="116"/>
      <c r="H250" s="68"/>
      <c r="I250" s="68"/>
      <c r="J250" s="67"/>
      <c r="K250" s="190">
        <f>AV252</f>
        <v>156.13382899628252</v>
      </c>
      <c r="L250" s="128" t="s">
        <v>401</v>
      </c>
      <c r="M250" s="67"/>
      <c r="N250" s="67"/>
      <c r="O250" s="67"/>
      <c r="P250" s="67"/>
      <c r="Q250" s="67"/>
      <c r="R250" s="190">
        <f ca="1">AY252</f>
        <v>29.491945477075589</v>
      </c>
      <c r="S250" s="128" t="s">
        <v>358</v>
      </c>
      <c r="U250" s="68"/>
      <c r="V250" s="68"/>
      <c r="W250" s="68"/>
      <c r="X250" s="68"/>
      <c r="Y250" s="67"/>
      <c r="Z250" s="67"/>
      <c r="AA250" s="8"/>
      <c r="AB250" s="61"/>
      <c r="AC250" s="101"/>
      <c r="AD250" s="101"/>
      <c r="AE250" s="154"/>
      <c r="AF250" s="101"/>
      <c r="AG250" s="154"/>
      <c r="AH250" s="65"/>
      <c r="AI250" s="65"/>
      <c r="AJ250" s="65"/>
      <c r="AK250" s="65"/>
      <c r="AL250" s="103"/>
      <c r="AM250" s="65"/>
      <c r="AN250" s="65"/>
      <c r="AO250" s="101"/>
      <c r="AP250" s="154"/>
      <c r="AQ250" s="65"/>
      <c r="AR250" s="65"/>
      <c r="AS250" s="152" t="str">
        <f>Data!$D$6</f>
        <v>Gas boiler</v>
      </c>
      <c r="AT250" s="177" t="s">
        <v>374</v>
      </c>
      <c r="AU250" s="179">
        <f>AU247/(Balance!$H$18*Balance!$H$19)*Balance!H$23</f>
        <v>22.769516728624534</v>
      </c>
      <c r="AV250" s="176">
        <f>AU250*Balance!$H$13</f>
        <v>455.3903345724907</v>
      </c>
      <c r="AW250" s="66"/>
      <c r="AX250" s="186">
        <f ca="1">AU247/(Balance!$H$18*Balance!$H$19)*Balance!$G$23/1000</f>
        <v>3.245043370508053</v>
      </c>
      <c r="AY250" s="176">
        <f ca="1">AX250*Balance!$H$13</f>
        <v>64.900867410161055</v>
      </c>
      <c r="AZ250" s="101"/>
      <c r="BA250" s="154"/>
      <c r="BB250" s="66"/>
      <c r="BC250" s="66"/>
      <c r="BD250" s="66"/>
      <c r="BE250" s="66"/>
      <c r="BF250" s="66"/>
      <c r="BG250" s="66"/>
      <c r="BH250" s="66"/>
      <c r="BI250" s="101"/>
      <c r="BJ250" s="154"/>
      <c r="BK250" s="66"/>
      <c r="BL250" s="66"/>
      <c r="BM250" s="66"/>
    </row>
    <row r="251" spans="1:65" ht="15.75" outlineLevel="1" x14ac:dyDescent="0.25">
      <c r="A251" s="61"/>
      <c r="B251" s="272"/>
      <c r="C251" s="77"/>
      <c r="D251" s="155"/>
      <c r="E251" s="188" t="s">
        <v>352</v>
      </c>
      <c r="F251" s="116"/>
      <c r="H251" s="68"/>
      <c r="I251" s="68"/>
      <c r="J251" s="67"/>
      <c r="K251" s="191">
        <f>K250+K249</f>
        <v>202.31173852533638</v>
      </c>
      <c r="L251" s="128" t="s">
        <v>355</v>
      </c>
      <c r="M251" s="67"/>
      <c r="N251" s="67"/>
      <c r="O251" s="67"/>
      <c r="P251" s="67"/>
      <c r="Q251" s="67"/>
      <c r="R251" s="191">
        <f ca="1">R250+R249</f>
        <v>50.818393432328392</v>
      </c>
      <c r="S251" s="128" t="s">
        <v>358</v>
      </c>
      <c r="T251" s="153"/>
      <c r="U251" s="68"/>
      <c r="V251" s="68"/>
      <c r="W251" s="68"/>
      <c r="X251" s="68"/>
      <c r="Y251" s="67"/>
      <c r="Z251" s="67"/>
      <c r="AA251" s="8"/>
      <c r="AB251" s="61"/>
      <c r="AC251" s="101"/>
      <c r="AD251" s="101"/>
      <c r="AE251" s="154"/>
      <c r="AF251" s="101"/>
      <c r="AG251" s="154"/>
      <c r="AH251" s="65"/>
      <c r="AI251" s="65"/>
      <c r="AJ251" s="65"/>
      <c r="AK251" s="65"/>
      <c r="AL251" s="103"/>
      <c r="AM251" s="65"/>
      <c r="AN251" s="65"/>
      <c r="AO251" s="101"/>
      <c r="AP251" s="154"/>
      <c r="AQ251" s="65"/>
      <c r="AR251" s="65"/>
      <c r="AS251" s="152" t="str">
        <f>Data!$D$7</f>
        <v>Biomass</v>
      </c>
      <c r="AT251" s="177" t="s">
        <v>374</v>
      </c>
      <c r="AU251" s="179">
        <f>AU247/(Balance!$H$18*Balance!$H$19)*Balance!$H$24</f>
        <v>14.312267657992566</v>
      </c>
      <c r="AV251" s="176">
        <f>AU251*Balance!$H$13</f>
        <v>286.24535315985133</v>
      </c>
      <c r="AW251" s="66"/>
      <c r="AX251" s="186">
        <f ca="1">AU247/(Balance!$H$18*Balance!$H$19)*Balance!$G$24/1000</f>
        <v>0.27648698884758366</v>
      </c>
      <c r="AY251" s="176">
        <f ca="1">AX251*Balance!$H$13</f>
        <v>5.529739776951673</v>
      </c>
      <c r="AZ251" s="101"/>
      <c r="BA251" s="154"/>
      <c r="BB251" s="66"/>
      <c r="BC251" s="66"/>
      <c r="BD251" s="66"/>
      <c r="BE251" s="66"/>
      <c r="BF251" s="66"/>
      <c r="BG251" s="66"/>
      <c r="BH251" s="66"/>
      <c r="BI251" s="101"/>
      <c r="BJ251" s="154"/>
      <c r="BK251" s="66"/>
      <c r="BL251" s="66"/>
      <c r="BM251" s="66"/>
    </row>
    <row r="252" spans="1:65" outlineLevel="1" x14ac:dyDescent="0.25">
      <c r="A252" s="61"/>
      <c r="B252" s="272"/>
      <c r="C252" s="104"/>
      <c r="D252" s="105"/>
      <c r="E252" s="106"/>
      <c r="F252" s="106"/>
      <c r="G252" s="106"/>
      <c r="H252" s="107"/>
      <c r="I252" s="107"/>
      <c r="J252" s="107"/>
      <c r="K252" s="106"/>
      <c r="L252" s="106"/>
      <c r="M252" s="106"/>
      <c r="N252" s="106"/>
      <c r="O252" s="106"/>
      <c r="P252" s="106"/>
      <c r="Q252" s="106"/>
      <c r="R252" s="106"/>
      <c r="S252" s="106"/>
      <c r="T252" s="106"/>
      <c r="U252" s="106"/>
      <c r="V252" s="106"/>
      <c r="W252" s="106"/>
      <c r="X252" s="106"/>
      <c r="Y252" s="106"/>
      <c r="Z252" s="108"/>
      <c r="AA252" s="109"/>
      <c r="AB252" s="61"/>
      <c r="AC252" s="101"/>
      <c r="AD252" s="101" t="s">
        <v>129</v>
      </c>
      <c r="AE252" s="110">
        <f>IF(ISNUMBER(G237),(AG248-AP248)/(2*AE248),0)</f>
        <v>6.5826596914389783E-17</v>
      </c>
      <c r="AF252" s="111"/>
      <c r="AG252" s="65"/>
      <c r="AH252" s="101"/>
      <c r="AI252" s="65"/>
      <c r="AJ252" s="65"/>
      <c r="AK252" s="65"/>
      <c r="AL252" s="65"/>
      <c r="AM252" s="65"/>
      <c r="AN252" s="65"/>
      <c r="AO252" s="65"/>
      <c r="AP252" s="66"/>
      <c r="AQ252" s="65"/>
      <c r="AR252" s="65"/>
      <c r="AS252" s="178" t="str">
        <f>Balance!$G$16</f>
        <v>Heat pump</v>
      </c>
      <c r="AT252" s="66"/>
      <c r="AU252" s="185">
        <f>VLOOKUP(AS252,AS248:AU251,3,0)</f>
        <v>7.8066914498141262</v>
      </c>
      <c r="AV252" s="185">
        <f>VLOOKUP(AS252,AS248:AV251,4,0)</f>
        <v>156.13382899628252</v>
      </c>
      <c r="AW252" s="185"/>
      <c r="AX252" s="187">
        <f ca="1">VLOOKUP(AS252,AS248:AX251,6,0)</f>
        <v>1.4745972738537794</v>
      </c>
      <c r="AY252" s="185">
        <f ca="1">VLOOKUP(AS252,AS248:AY251,7,0)</f>
        <v>29.491945477075589</v>
      </c>
      <c r="AZ252" s="66"/>
      <c r="BA252" s="66"/>
      <c r="BB252" s="66"/>
      <c r="BC252" s="66"/>
      <c r="BD252" s="66"/>
      <c r="BE252" s="66"/>
      <c r="BF252" s="66"/>
      <c r="BG252" s="66"/>
      <c r="BH252" s="66"/>
      <c r="BI252" s="66"/>
      <c r="BJ252" s="66"/>
      <c r="BK252" s="66"/>
      <c r="BL252" s="66"/>
      <c r="BM252" s="66"/>
    </row>
    <row r="253" spans="1:65" outlineLevel="1" x14ac:dyDescent="0.25">
      <c r="B253" s="201"/>
    </row>
    <row r="254" spans="1:65" outlineLevel="1" x14ac:dyDescent="0.25">
      <c r="A254" s="61"/>
      <c r="B254" s="272"/>
      <c r="C254" s="62"/>
      <c r="D254" s="114" t="s">
        <v>131</v>
      </c>
      <c r="E254" s="115" t="s">
        <v>132</v>
      </c>
      <c r="F254" s="115"/>
      <c r="G254" s="63"/>
      <c r="H254" s="63"/>
      <c r="I254" s="63"/>
      <c r="J254" s="63"/>
      <c r="K254" s="63"/>
      <c r="L254" s="63"/>
      <c r="M254" s="63"/>
      <c r="N254" s="63"/>
      <c r="O254" s="63"/>
      <c r="P254" s="63"/>
      <c r="Q254" s="63"/>
      <c r="R254" s="63"/>
      <c r="S254" s="63"/>
      <c r="T254" s="63"/>
      <c r="U254" s="63"/>
      <c r="V254" s="63"/>
      <c r="W254" s="63"/>
      <c r="X254" s="63"/>
      <c r="Y254" s="63"/>
      <c r="Z254" s="63"/>
      <c r="AA254" s="64"/>
      <c r="AB254" s="61"/>
      <c r="AC254" s="65" t="s">
        <v>402</v>
      </c>
      <c r="AD254" s="65"/>
      <c r="AE254" s="65"/>
      <c r="AF254" s="65"/>
      <c r="AG254" s="65"/>
      <c r="AH254" s="65"/>
      <c r="AI254" s="65"/>
      <c r="AJ254" s="65"/>
      <c r="AK254" s="65"/>
      <c r="AL254" s="65"/>
      <c r="AM254" s="65"/>
      <c r="AN254" s="65"/>
      <c r="AO254" s="65"/>
      <c r="AP254" s="65"/>
      <c r="AQ254" s="66"/>
      <c r="AR254" s="65" t="s">
        <v>405</v>
      </c>
      <c r="AS254" s="65"/>
      <c r="AT254" s="65"/>
      <c r="AU254" s="65"/>
      <c r="AV254" s="65"/>
      <c r="AW254" s="65"/>
      <c r="AX254" s="65"/>
      <c r="AY254" s="65"/>
      <c r="AZ254" s="65"/>
      <c r="BA254" s="65"/>
      <c r="BB254" s="65" t="s">
        <v>403</v>
      </c>
      <c r="BC254" s="65"/>
      <c r="BD254" s="65"/>
      <c r="BE254" s="65"/>
      <c r="BF254" s="65"/>
      <c r="BG254" s="65"/>
      <c r="BH254" s="65"/>
      <c r="BI254" s="65"/>
      <c r="BJ254" s="65"/>
      <c r="BK254" s="65"/>
      <c r="BL254" s="65"/>
      <c r="BM254" s="65"/>
    </row>
    <row r="255" spans="1:65" ht="15.75" x14ac:dyDescent="0.25">
      <c r="A255" s="61"/>
      <c r="B255" s="272"/>
      <c r="C255" s="69"/>
      <c r="D255" s="70">
        <v>10</v>
      </c>
      <c r="E255" s="71" t="s">
        <v>410</v>
      </c>
      <c r="F255" s="92"/>
      <c r="G255" s="72"/>
      <c r="H255" s="72"/>
      <c r="I255" s="72"/>
      <c r="J255" s="72"/>
      <c r="K255" s="72"/>
      <c r="L255" s="72"/>
      <c r="M255" s="72"/>
      <c r="N255" s="72"/>
      <c r="O255" s="72"/>
      <c r="P255" s="72"/>
      <c r="Q255" s="72"/>
      <c r="R255" s="72"/>
      <c r="S255" s="72"/>
      <c r="T255" s="72"/>
      <c r="U255" s="72"/>
      <c r="V255" s="72"/>
      <c r="W255" s="72"/>
      <c r="X255" s="72"/>
      <c r="Y255" s="72"/>
      <c r="Z255" s="73"/>
      <c r="AA255" s="75"/>
      <c r="AB255" s="61"/>
      <c r="AC255" s="65"/>
      <c r="AD255" s="65"/>
      <c r="AE255" s="76" t="s">
        <v>114</v>
      </c>
      <c r="AF255" s="65"/>
      <c r="AG255" s="65"/>
      <c r="AH255" s="65"/>
      <c r="AI255" s="65"/>
      <c r="AJ255" s="65"/>
      <c r="AK255" s="65"/>
      <c r="AL255" s="65"/>
      <c r="AM255" s="65"/>
      <c r="AN255" s="65"/>
      <c r="AO255" s="65"/>
      <c r="AP255" s="66"/>
      <c r="AQ255" s="65"/>
      <c r="AR255" s="65" t="s">
        <v>404</v>
      </c>
      <c r="AS255" s="65"/>
      <c r="AT255" s="65"/>
      <c r="AU255" s="65"/>
      <c r="AV255" s="65"/>
      <c r="AW255" s="65"/>
      <c r="AX255" s="65"/>
      <c r="AY255" s="65"/>
      <c r="AZ255" s="65"/>
      <c r="BA255" s="65"/>
      <c r="BB255" s="65" t="s">
        <v>407</v>
      </c>
      <c r="BC255" s="65"/>
      <c r="BD255" s="65"/>
      <c r="BE255" s="65"/>
      <c r="BF255" s="65"/>
      <c r="BG255" s="65"/>
      <c r="BH255" s="65"/>
      <c r="BI255" s="65"/>
      <c r="BJ255" s="65"/>
      <c r="BK255" s="65"/>
      <c r="BL255" s="65"/>
      <c r="BM255" s="65"/>
    </row>
    <row r="256" spans="1:65" outlineLevel="1" x14ac:dyDescent="0.25">
      <c r="A256" s="61"/>
      <c r="B256" s="272"/>
      <c r="C256" s="77"/>
      <c r="D256" s="116" t="s">
        <v>133</v>
      </c>
      <c r="E256" s="78"/>
      <c r="F256" s="78"/>
      <c r="AA256" s="75"/>
      <c r="AB256" s="61"/>
      <c r="AC256" s="65"/>
      <c r="AD256" s="65"/>
      <c r="AE256" s="65"/>
      <c r="AF256" s="65"/>
      <c r="AG256" s="65"/>
      <c r="AH256" s="65"/>
      <c r="AI256" s="65"/>
      <c r="AJ256" s="65"/>
      <c r="AK256" s="65"/>
      <c r="AL256" s="65"/>
      <c r="AM256" s="65"/>
      <c r="AN256" s="65"/>
      <c r="AO256" s="65"/>
      <c r="AP256" s="66"/>
      <c r="AQ256" s="65"/>
      <c r="AR256" s="65"/>
      <c r="AS256" s="65"/>
      <c r="AT256" s="65"/>
      <c r="AU256" s="65"/>
      <c r="AV256" s="65"/>
      <c r="AW256" s="65"/>
      <c r="AX256" s="65"/>
      <c r="AY256" s="65"/>
      <c r="AZ256" s="65"/>
      <c r="BA256" s="65"/>
      <c r="BB256" s="65"/>
      <c r="BC256" s="65"/>
      <c r="BD256" s="65"/>
      <c r="BE256" s="65"/>
      <c r="BF256" s="65"/>
      <c r="BG256" s="65"/>
      <c r="BH256" s="65"/>
      <c r="BI256" s="65"/>
      <c r="BJ256" s="65"/>
      <c r="BK256" s="65"/>
      <c r="BL256" s="65"/>
      <c r="BM256" s="65"/>
    </row>
    <row r="257" spans="1:65" outlineLevel="1" x14ac:dyDescent="0.25">
      <c r="A257" s="61"/>
      <c r="B257" s="272"/>
      <c r="C257" s="77"/>
      <c r="D257" s="79">
        <v>0.13</v>
      </c>
      <c r="E257" s="2" t="s">
        <v>151</v>
      </c>
      <c r="F257" s="138">
        <v>1</v>
      </c>
      <c r="G257" s="61"/>
      <c r="H257" s="74"/>
      <c r="I257" s="74"/>
      <c r="J257" s="74"/>
      <c r="K257" s="2" t="s">
        <v>921</v>
      </c>
      <c r="L257" s="74"/>
      <c r="M257" s="74"/>
      <c r="N257" s="74"/>
      <c r="AA257" s="75"/>
      <c r="AB257" s="61"/>
      <c r="AC257" s="65"/>
      <c r="AD257" s="65"/>
      <c r="AE257" s="65" t="s">
        <v>115</v>
      </c>
      <c r="AF257" s="65"/>
      <c r="AG257" s="65"/>
      <c r="AH257" s="65"/>
      <c r="AI257" s="65" t="s">
        <v>116</v>
      </c>
      <c r="AJ257" s="65"/>
      <c r="AK257" s="65"/>
      <c r="AL257" s="65"/>
      <c r="AM257" s="65"/>
      <c r="AN257" s="65"/>
      <c r="AO257" s="65"/>
      <c r="AP257" s="66"/>
      <c r="AQ257" s="65"/>
      <c r="AR257" s="65"/>
      <c r="AS257" s="65"/>
      <c r="AT257" s="65"/>
      <c r="AU257" s="65"/>
      <c r="AV257" s="65"/>
      <c r="AW257" s="65"/>
      <c r="AX257" s="65"/>
      <c r="AY257" s="65"/>
      <c r="AZ257" s="65"/>
      <c r="BA257" s="65"/>
      <c r="BB257" s="65"/>
      <c r="BC257" s="65"/>
      <c r="BD257" s="65"/>
      <c r="BE257" s="65"/>
      <c r="BF257" s="65"/>
      <c r="BG257" s="65"/>
      <c r="BH257" s="65"/>
      <c r="BI257" s="65"/>
      <c r="BJ257" s="65"/>
      <c r="BK257" s="65"/>
      <c r="BL257" s="65"/>
      <c r="BM257" s="65"/>
    </row>
    <row r="258" spans="1:65" ht="15.75" outlineLevel="1" x14ac:dyDescent="0.25">
      <c r="A258" s="61"/>
      <c r="B258" s="272"/>
      <c r="C258" s="77"/>
      <c r="D258" s="79">
        <v>0.04</v>
      </c>
      <c r="E258" s="2" t="s">
        <v>152</v>
      </c>
      <c r="F258" s="2"/>
      <c r="G258" s="61"/>
      <c r="H258" s="74"/>
      <c r="I258" s="74"/>
      <c r="J258" s="74"/>
      <c r="K258" s="74"/>
      <c r="L258" s="74"/>
      <c r="M258" s="74"/>
      <c r="N258" s="74"/>
      <c r="AA258" s="75"/>
      <c r="AB258" s="61"/>
      <c r="AC258" s="65"/>
      <c r="AD258" s="65"/>
      <c r="AE258" s="80" t="s">
        <v>117</v>
      </c>
      <c r="AF258" s="81"/>
      <c r="AG258" s="81"/>
      <c r="AH258" s="65"/>
      <c r="AI258" s="82" t="s">
        <v>118</v>
      </c>
      <c r="AJ258" s="81"/>
      <c r="AK258" s="81"/>
      <c r="AL258" s="65"/>
      <c r="AM258" s="83" t="s">
        <v>119</v>
      </c>
      <c r="AN258" s="84"/>
      <c r="AO258" s="85"/>
      <c r="AP258" s="65"/>
      <c r="AQ258" s="65"/>
      <c r="AR258" s="65"/>
      <c r="AS258" s="65"/>
      <c r="AT258" s="65"/>
      <c r="AU258" s="65"/>
      <c r="AV258" s="65"/>
      <c r="AW258" s="65"/>
      <c r="AX258" s="65"/>
      <c r="AY258" s="65"/>
      <c r="AZ258" s="65"/>
      <c r="BA258" s="65"/>
      <c r="BB258" s="65"/>
      <c r="BC258" s="65"/>
      <c r="BD258" s="65"/>
      <c r="BE258" s="65"/>
      <c r="BF258" s="65"/>
      <c r="BG258" s="65"/>
      <c r="BH258" s="65"/>
      <c r="BI258" s="65"/>
      <c r="BJ258" s="65"/>
      <c r="BK258" s="65"/>
      <c r="BL258" s="65"/>
      <c r="BM258" s="65"/>
    </row>
    <row r="259" spans="1:65" ht="15.75" outlineLevel="1" x14ac:dyDescent="0.25">
      <c r="A259" s="61"/>
      <c r="B259" s="272"/>
      <c r="C259" s="77"/>
      <c r="D259" s="74"/>
      <c r="E259" s="61"/>
      <c r="F259" s="61"/>
      <c r="G259" s="61"/>
      <c r="H259" s="74"/>
      <c r="I259" s="74"/>
      <c r="J259" s="74"/>
      <c r="K259" s="74"/>
      <c r="L259" s="74"/>
      <c r="M259" s="74"/>
      <c r="N259" s="74"/>
      <c r="O259" s="1"/>
      <c r="P259" s="1"/>
      <c r="Q259" s="1"/>
      <c r="AA259" s="75"/>
      <c r="AB259" s="61"/>
      <c r="AC259" s="65"/>
      <c r="AD259" s="65"/>
      <c r="AE259" s="117"/>
      <c r="AF259" s="117"/>
      <c r="AG259" s="117"/>
      <c r="AH259" s="65"/>
      <c r="AI259" s="118"/>
      <c r="AJ259" s="117"/>
      <c r="AK259" s="117"/>
      <c r="AL259" s="65"/>
      <c r="AM259" s="119"/>
      <c r="AN259" s="119"/>
      <c r="AO259" s="119"/>
      <c r="AP259" s="65"/>
      <c r="AQ259" s="65"/>
      <c r="AR259" s="65"/>
      <c r="AS259" s="65"/>
      <c r="AT259" s="148" t="s">
        <v>351</v>
      </c>
      <c r="AU259" s="65"/>
      <c r="AV259" s="65"/>
      <c r="AW259" s="65"/>
      <c r="AX259" s="148"/>
      <c r="AY259" s="65"/>
      <c r="AZ259" s="65"/>
      <c r="BA259" s="65"/>
      <c r="BB259" s="65"/>
      <c r="BC259" s="148" t="s">
        <v>406</v>
      </c>
      <c r="BD259" s="65"/>
      <c r="BE259" s="65"/>
      <c r="BF259" s="65"/>
      <c r="BG259" s="148"/>
      <c r="BH259" s="65"/>
      <c r="BI259" s="65"/>
      <c r="BJ259" s="65"/>
      <c r="BK259" s="65"/>
      <c r="BL259" s="65"/>
      <c r="BM259" s="65"/>
    </row>
    <row r="260" spans="1:65" ht="22.5" outlineLevel="1" x14ac:dyDescent="0.25">
      <c r="A260" s="61"/>
      <c r="B260" s="272"/>
      <c r="C260" s="77"/>
      <c r="D260" s="121" t="str">
        <f>$D$35</f>
        <v>Area section 1</v>
      </c>
      <c r="E260" s="61"/>
      <c r="F260" s="122" t="str">
        <f>$F$35</f>
        <v>Count?</v>
      </c>
      <c r="G260" s="122" t="str">
        <f>$G$35</f>
        <v>Thermal conductivity</v>
      </c>
      <c r="H260" s="122" t="str">
        <f>$H$35</f>
        <v>Manfacturing energy</v>
      </c>
      <c r="I260" s="122" t="str">
        <f>$I$35</f>
        <v>GWP</v>
      </c>
      <c r="J260" s="122" t="str">
        <f>$J$35</f>
        <v>Service life</v>
      </c>
      <c r="K260" s="121" t="str">
        <f>$K$35</f>
        <v>Area section 2 (optional)</v>
      </c>
      <c r="L260" s="121"/>
      <c r="M260" s="122" t="str">
        <f>$M$35</f>
        <v>Count?</v>
      </c>
      <c r="N260" s="122" t="str">
        <f>$N$35</f>
        <v>Thermal conductivity</v>
      </c>
      <c r="O260" s="122" t="str">
        <f>$O$35</f>
        <v>Manfacturing energy</v>
      </c>
      <c r="P260" s="122" t="str">
        <f>$P$35</f>
        <v>GWP</v>
      </c>
      <c r="Q260" s="122" t="str">
        <f>$Q$35</f>
        <v>Service life</v>
      </c>
      <c r="R260" s="121" t="str">
        <f>$R$35</f>
        <v>Area section 3 (optional)</v>
      </c>
      <c r="S260" s="74"/>
      <c r="T260" s="122" t="str">
        <f>$T$35</f>
        <v>Count?</v>
      </c>
      <c r="U260" s="122" t="str">
        <f>$U$35</f>
        <v>Thermal conductivity</v>
      </c>
      <c r="V260" s="122" t="str">
        <f>$V$35</f>
        <v>Manfacturing energy</v>
      </c>
      <c r="W260" s="122" t="str">
        <f>$W$35</f>
        <v>GWP</v>
      </c>
      <c r="X260" s="122" t="str">
        <f>$X$35</f>
        <v>Service life</v>
      </c>
      <c r="Y260" s="74"/>
      <c r="Z260" s="122" t="str">
        <f>$Z$35</f>
        <v>Thickness</v>
      </c>
      <c r="AA260" s="75"/>
      <c r="AB260" s="61"/>
      <c r="AC260" s="65"/>
      <c r="AD260" s="65"/>
      <c r="AE260" s="86"/>
      <c r="AF260" s="87"/>
      <c r="AG260" s="65"/>
      <c r="AH260" s="65"/>
      <c r="AI260" s="65"/>
      <c r="AJ260" s="65"/>
      <c r="AK260" s="65"/>
      <c r="AL260" s="65"/>
      <c r="AM260" s="65"/>
      <c r="AN260" s="65"/>
      <c r="AO260" s="65"/>
      <c r="AP260" s="65"/>
      <c r="AQ260" s="65"/>
      <c r="AR260" s="65"/>
      <c r="AS260" s="65"/>
      <c r="AT260" s="148"/>
      <c r="AU260" s="65"/>
      <c r="AV260" s="65"/>
      <c r="AW260" s="151" t="s">
        <v>353</v>
      </c>
      <c r="AX260" s="149">
        <f>D270</f>
        <v>1</v>
      </c>
      <c r="AY260" s="150">
        <f>K270</f>
        <v>0</v>
      </c>
      <c r="AZ260" s="150">
        <f>R270</f>
        <v>0</v>
      </c>
      <c r="BA260" s="156">
        <f>SUM(AX260:AZ260)</f>
        <v>1</v>
      </c>
      <c r="BB260" s="65"/>
      <c r="BC260" s="148"/>
      <c r="BD260" s="65"/>
      <c r="BE260" s="65"/>
      <c r="BF260" s="151" t="s">
        <v>353</v>
      </c>
      <c r="BG260" s="149">
        <f>AX260</f>
        <v>1</v>
      </c>
      <c r="BH260" s="149">
        <f t="shared" ref="BH260" si="186">AY260</f>
        <v>0</v>
      </c>
      <c r="BI260" s="149">
        <f t="shared" ref="BI260" si="187">AZ260</f>
        <v>0</v>
      </c>
      <c r="BJ260" s="156">
        <f>SUM(BG260:BI260)</f>
        <v>1</v>
      </c>
      <c r="BK260" s="65"/>
      <c r="BL260" s="65"/>
      <c r="BM260" s="65"/>
    </row>
    <row r="261" spans="1:65" outlineLevel="1" x14ac:dyDescent="0.25">
      <c r="A261" s="61"/>
      <c r="B261" s="272"/>
      <c r="C261" s="77"/>
      <c r="E261" s="61"/>
      <c r="F261" s="120" t="s">
        <v>985</v>
      </c>
      <c r="G261" s="4" t="s">
        <v>135</v>
      </c>
      <c r="H261" s="120" t="s">
        <v>144</v>
      </c>
      <c r="I261" s="120" t="s">
        <v>148</v>
      </c>
      <c r="J261" s="120" t="s">
        <v>146</v>
      </c>
      <c r="K261" s="88"/>
      <c r="L261" s="88"/>
      <c r="M261" s="88"/>
      <c r="N261" s="4" t="s">
        <v>135</v>
      </c>
      <c r="O261" s="120" t="s">
        <v>144</v>
      </c>
      <c r="P261" s="120" t="s">
        <v>148</v>
      </c>
      <c r="Q261" s="120" t="s">
        <v>146</v>
      </c>
      <c r="R261" s="88"/>
      <c r="S261" s="88"/>
      <c r="T261" s="88"/>
      <c r="U261" s="4" t="s">
        <v>135</v>
      </c>
      <c r="V261" s="120" t="s">
        <v>144</v>
      </c>
      <c r="W261" s="120" t="s">
        <v>148</v>
      </c>
      <c r="X261" s="120" t="s">
        <v>146</v>
      </c>
      <c r="Y261" s="74"/>
      <c r="Z261" s="120" t="str">
        <f>$Z$36</f>
        <v>[mm]</v>
      </c>
      <c r="AA261" s="75"/>
      <c r="AB261" s="61"/>
      <c r="AC261" s="65"/>
      <c r="AD261" s="65"/>
      <c r="AE261" s="89" t="s">
        <v>120</v>
      </c>
      <c r="AF261" s="89" t="s">
        <v>121</v>
      </c>
      <c r="AG261" s="89" t="s">
        <v>122</v>
      </c>
      <c r="AH261" s="65"/>
      <c r="AI261" s="89" t="s">
        <v>120</v>
      </c>
      <c r="AJ261" s="89" t="s">
        <v>121</v>
      </c>
      <c r="AK261" s="89" t="s">
        <v>122</v>
      </c>
      <c r="AL261" s="90"/>
      <c r="AM261" s="89" t="s">
        <v>120</v>
      </c>
      <c r="AN261" s="89" t="s">
        <v>121</v>
      </c>
      <c r="AO261" s="89" t="s">
        <v>122</v>
      </c>
      <c r="AP261" s="90" t="s">
        <v>123</v>
      </c>
      <c r="AQ261" s="65"/>
      <c r="AR261" s="65"/>
      <c r="AS261" s="65"/>
      <c r="AT261" s="89" t="s">
        <v>120</v>
      </c>
      <c r="AU261" s="89" t="s">
        <v>121</v>
      </c>
      <c r="AV261" s="89" t="s">
        <v>122</v>
      </c>
      <c r="AW261" s="65"/>
      <c r="AX261" s="89" t="s">
        <v>120</v>
      </c>
      <c r="AY261" s="89" t="s">
        <v>121</v>
      </c>
      <c r="AZ261" s="89" t="s">
        <v>122</v>
      </c>
      <c r="BA261" s="89" t="s">
        <v>354</v>
      </c>
      <c r="BB261" s="65"/>
      <c r="BC261" s="89" t="s">
        <v>120</v>
      </c>
      <c r="BD261" s="89" t="s">
        <v>121</v>
      </c>
      <c r="BE261" s="89" t="s">
        <v>122</v>
      </c>
      <c r="BF261" s="65"/>
      <c r="BG261" s="89" t="s">
        <v>120</v>
      </c>
      <c r="BH261" s="89" t="s">
        <v>121</v>
      </c>
      <c r="BI261" s="89" t="s">
        <v>122</v>
      </c>
      <c r="BJ261" s="89" t="s">
        <v>354</v>
      </c>
      <c r="BK261" s="65"/>
      <c r="BL261" s="65"/>
      <c r="BM261" s="65"/>
    </row>
    <row r="262" spans="1:65" outlineLevel="1" x14ac:dyDescent="0.25">
      <c r="A262" s="61"/>
      <c r="B262" s="272"/>
      <c r="C262" s="91"/>
      <c r="D262" s="418" t="s">
        <v>1023</v>
      </c>
      <c r="E262" s="419"/>
      <c r="F262" s="94">
        <v>1</v>
      </c>
      <c r="G262" s="136">
        <f>IF(ISNUMBER(VLOOKUP(LEFT(D262,3),'Material editor'!$D$11:$H$110,'Material editor'!$E$8,0)),VLOOKUP(LEFT(D262,3),'Material editor'!$D$11:$H$110,'Material editor'!$E$8,0),"")</f>
        <v>0.54</v>
      </c>
      <c r="H262" s="137">
        <f>IF(ISNUMBER(VLOOKUP(LEFT(D262,3),'Material editor'!$D$11:$H$110,'Material editor'!$F$8,0)),VLOOKUP(LEFT(D262,3),'Material editor'!$D$11:$H$110,'Material editor'!$F$8,0),"")</f>
        <v>615.62380504232146</v>
      </c>
      <c r="I262" s="137">
        <f>IF(ISNUMBER(VLOOKUP(LEFT(D262,3),'Material editor'!$D$11:$H$110,'Material editor'!$G$8,0)),VLOOKUP(LEFT(D262,3),'Material editor'!$D$11:$H$110,'Material editor'!$G$8,0),"")</f>
        <v>118.443629056085</v>
      </c>
      <c r="J262" s="137">
        <f>IF(ISNUMBER(VLOOKUP(LEFT(D262,3),'Material editor'!$D$11:$H$110,'Material editor'!$H$8,0)),VLOOKUP(LEFT(D262,3),'Material editor'!$D$11:$H$110,'Material editor'!$H$8,0),"")</f>
        <v>40</v>
      </c>
      <c r="K262" s="418"/>
      <c r="L262" s="407"/>
      <c r="M262" s="94"/>
      <c r="N262" s="136" t="str">
        <f>IF(ISNUMBER(VLOOKUP(LEFT(K262,3),'Material editor'!$D$11:$H$110,'Material editor'!$E$8,0)),VLOOKUP(LEFT(K262,3),'Material editor'!$D$11:$H$110,'Material editor'!$E$8,0),"")</f>
        <v/>
      </c>
      <c r="O262" s="137" t="str">
        <f>IF(ISNUMBER(VLOOKUP(LEFT(K262,3),'Material editor'!$D$11:$H$110,'Material editor'!$F$8,0)),VLOOKUP(LEFT(K262,3),'Material editor'!$D$11:$H$110,'Material editor'!$F$8,0),"")</f>
        <v/>
      </c>
      <c r="P262" s="137" t="str">
        <f>IF(ISNUMBER(VLOOKUP(LEFT(K262,3),'Material editor'!$D$11:$H$110,'Material editor'!$G$8,0)),VLOOKUP(LEFT(K262,3),'Material editor'!$D$11:$H$110,'Material editor'!$G$8,0),"")</f>
        <v/>
      </c>
      <c r="Q262" s="137" t="str">
        <f>IF(ISNUMBER(VLOOKUP(LEFT(K262,3),'Material editor'!$D$11:$H$110,'Material editor'!$H$8,0)),VLOOKUP(LEFT(K262,3),'Material editor'!$D$11:$H$110,'Material editor'!$H$8,0),"")</f>
        <v/>
      </c>
      <c r="R262" s="418"/>
      <c r="S262" s="407"/>
      <c r="T262" s="94"/>
      <c r="U262" s="136" t="str">
        <f>IF(ISNUMBER(VLOOKUP(LEFT(R262,3),'Material editor'!$D$11:$H$110,'Material editor'!$E$8,0)),VLOOKUP(LEFT(R262,3),'Material editor'!$D$11:$H$110,'Material editor'!$E$8,0),"")</f>
        <v/>
      </c>
      <c r="V262" s="137" t="str">
        <f>IF(ISNUMBER(VLOOKUP(LEFT(R262,3),'Material editor'!$D$11:$H$110,'Material editor'!$F$8,0)),VLOOKUP(LEFT(R262,3),'Material editor'!$D$11:$H$110,'Material editor'!$F$8,0),"")</f>
        <v/>
      </c>
      <c r="W262" s="137" t="str">
        <f>IF(ISNUMBER(VLOOKUP(LEFT(R262,3),'Material editor'!$D$11:$H$110,'Material editor'!$G$8,0)),VLOOKUP(LEFT(R262,3),'Material editor'!$D$11:$H$110,'Material editor'!$G$8,0),"")</f>
        <v/>
      </c>
      <c r="X262" s="137" t="str">
        <f>IF(ISNUMBER(VLOOKUP(LEFT(R262,3),'Material editor'!$D$11:$H$110,'Material editor'!$H$8,0)),VLOOKUP(LEFT(R262,3),'Material editor'!$D$11:$H$110,'Material editor'!$H$8,0),"")</f>
        <v/>
      </c>
      <c r="Y262" s="74"/>
      <c r="Z262" s="94">
        <v>15</v>
      </c>
      <c r="AA262" s="8"/>
      <c r="AB262" s="61"/>
      <c r="AC262" s="65"/>
      <c r="AD262" s="65"/>
      <c r="AE262" s="95">
        <f t="shared" ref="AE262:AE269" si="188">IF(ISNUMBER(G262),IF(G262&gt;0,$Z262/1000/G262,0),0)</f>
        <v>2.7777777777777776E-2</v>
      </c>
      <c r="AF262" s="95">
        <f t="shared" ref="AF262:AF269" si="189">IF(ISNUMBER(N262),IF(N262&gt;0,$Z262/1000/N262,0),$AE262)</f>
        <v>2.7777777777777776E-2</v>
      </c>
      <c r="AG262" s="95">
        <f t="shared" ref="AG262:AG269" si="190">IF(ISNUMBER(U262),IF(U262&gt;0,$Z262/1000/U262,0),$AE262)</f>
        <v>2.7777777777777776E-2</v>
      </c>
      <c r="AH262" s="65"/>
      <c r="AI262" s="95">
        <f t="shared" ref="AI262:AI268" si="191">IF(ISNUMBER(G262),G262,0)</f>
        <v>0.54</v>
      </c>
      <c r="AJ262" s="95">
        <f t="shared" ref="AJ262:AJ269" si="192">IF(ISNUMBER(N262),IF(N262&gt;0,N262,0),$AI262)</f>
        <v>0.54</v>
      </c>
      <c r="AK262" s="95">
        <f t="shared" ref="AK262:AK269" si="193">IF(ISNUMBER(U262),IF(U262&gt;0,U262,0),$AI262)</f>
        <v>0.54</v>
      </c>
      <c r="AL262" s="65"/>
      <c r="AM262" s="96">
        <f>AE271</f>
        <v>1</v>
      </c>
      <c r="AN262" s="96">
        <f>AF271</f>
        <v>0</v>
      </c>
      <c r="AO262" s="96">
        <f>AG271</f>
        <v>0</v>
      </c>
      <c r="AP262" s="65">
        <f t="shared" ref="AP262:AP269" si="194">IF(AI262&lt;&gt;0,Z262/1000/SUMPRODUCT(AM262:AO262,AI262:AK262),0)</f>
        <v>2.7777777777777776E-2</v>
      </c>
      <c r="AQ262" s="65"/>
      <c r="AR262" s="65"/>
      <c r="AS262" s="65"/>
      <c r="AT262" s="95">
        <f>IF(ISNUMBER(H262),H262*F262*Z262/1000*Balance!$H$13/J262,0)</f>
        <v>4.6171785378174111</v>
      </c>
      <c r="AU262" s="95">
        <f>IF(ISTEXT(K262),IF(ISNUMBER(O262),O262*M262*Z262/1000*Balance!$H$13/Q262,0),AT262)</f>
        <v>4.6171785378174111</v>
      </c>
      <c r="AV262" s="95">
        <f>IF(ISTEXT(R262),IF(ISNUMBER(V262),V262*T262*Z262/1000*Balance!$H$13/X262,0),AT262)</f>
        <v>4.6171785378174111</v>
      </c>
      <c r="AW262" s="99"/>
      <c r="AX262" s="95">
        <f>AT262*AX260</f>
        <v>4.6171785378174111</v>
      </c>
      <c r="AY262" s="95">
        <f>AU262*AY260</f>
        <v>0</v>
      </c>
      <c r="AZ262" s="95">
        <f>AV262*AZ260</f>
        <v>0</v>
      </c>
      <c r="BA262" s="95">
        <f>SUM(AX262:AZ262)</f>
        <v>4.6171785378174111</v>
      </c>
      <c r="BB262" s="65"/>
      <c r="BC262" s="95">
        <f>IF(ISNUMBER(I262),I262*F262*Z262/1000*Balance!$H$13/J262,0)</f>
        <v>0.88832721792063762</v>
      </c>
      <c r="BD262" s="95">
        <f>IF(ISTEXT(K262),IF(ISNUMBER(P262),P262*M262*Z262/1000*Balance!$H$13/Q262,0),BC262)</f>
        <v>0.88832721792063762</v>
      </c>
      <c r="BE262" s="95">
        <f>IF(ISTEXT(R262),IF(ISNUMBER(W262),W262*T262*Z262/1000*Balance!$H$13/X262,0),BC262)</f>
        <v>0.88832721792063762</v>
      </c>
      <c r="BF262" s="99"/>
      <c r="BG262" s="95">
        <f>BC262*BG260</f>
        <v>0.88832721792063762</v>
      </c>
      <c r="BH262" s="95">
        <f>BD262*BH260</f>
        <v>0</v>
      </c>
      <c r="BI262" s="95">
        <f>BE262*BI260</f>
        <v>0</v>
      </c>
      <c r="BJ262" s="95">
        <f>SUM(BG262:BI262)</f>
        <v>0.88832721792063762</v>
      </c>
      <c r="BK262" s="65"/>
      <c r="BL262" s="65"/>
      <c r="BM262" s="65"/>
    </row>
    <row r="263" spans="1:65" outlineLevel="1" x14ac:dyDescent="0.25">
      <c r="A263" s="61"/>
      <c r="B263" s="272"/>
      <c r="C263" s="91"/>
      <c r="D263" s="418" t="s">
        <v>1033</v>
      </c>
      <c r="E263" s="407"/>
      <c r="F263" s="94">
        <v>1</v>
      </c>
      <c r="G263" s="136">
        <f>IF(ISNUMBER(VLOOKUP(LEFT(D263,3),'Material editor'!$D$11:$H$110,'Material editor'!$E$8,0)),VLOOKUP(LEFT(D263,3),'Material editor'!$D$11:$H$110,'Material editor'!$E$8,0),"")</f>
        <v>7.0000000000000007E-2</v>
      </c>
      <c r="H263" s="137">
        <f>IF(ISNUMBER(VLOOKUP(LEFT(D263,3),'Material editor'!$D$11:$H$110,'Material editor'!$F$8,0)),VLOOKUP(LEFT(D263,3),'Material editor'!$D$11:$H$110,'Material editor'!$F$8,0),"")</f>
        <v>509.16666666666663</v>
      </c>
      <c r="I263" s="137">
        <f>IF(ISNUMBER(VLOOKUP(LEFT(D263,3),'Material editor'!$D$11:$H$110,'Material editor'!$G$8,0)),VLOOKUP(LEFT(D263,3),'Material editor'!$D$11:$H$110,'Material editor'!$G$8,0),"")</f>
        <v>146</v>
      </c>
      <c r="J263" s="137">
        <f>IF(ISNUMBER(VLOOKUP(LEFT(D263,3),'Material editor'!$D$11:$H$110,'Material editor'!$H$8,0)),VLOOKUP(LEFT(D263,3),'Material editor'!$D$11:$H$110,'Material editor'!$H$8,0),"")</f>
        <v>80</v>
      </c>
      <c r="K263" s="418"/>
      <c r="L263" s="407"/>
      <c r="M263" s="94"/>
      <c r="N263" s="136" t="str">
        <f>IF(ISNUMBER(VLOOKUP(LEFT(K263,3),'Material editor'!$D$11:$H$110,'Material editor'!$E$8,0)),VLOOKUP(LEFT(K263,3),'Material editor'!$D$11:$H$110,'Material editor'!$E$8,0),"")</f>
        <v/>
      </c>
      <c r="O263" s="137" t="str">
        <f>IF(ISNUMBER(VLOOKUP(LEFT(K263,3),'Material editor'!$D$11:$H$110,'Material editor'!$F$8,0)),VLOOKUP(LEFT(K263,3),'Material editor'!$D$11:$H$110,'Material editor'!$F$8,0),"")</f>
        <v/>
      </c>
      <c r="P263" s="137" t="str">
        <f>IF(ISNUMBER(VLOOKUP(LEFT(K263,3),'Material editor'!$D$11:$H$110,'Material editor'!$G$8,0)),VLOOKUP(LEFT(K263,3),'Material editor'!$D$11:$H$110,'Material editor'!$G$8,0),"")</f>
        <v/>
      </c>
      <c r="Q263" s="137" t="str">
        <f>IF(ISNUMBER(VLOOKUP(LEFT(K263,3),'Material editor'!$D$11:$H$110,'Material editor'!$H$8,0)),VLOOKUP(LEFT(K263,3),'Material editor'!$D$11:$H$110,'Material editor'!$H$8,0),"")</f>
        <v/>
      </c>
      <c r="R263" s="418"/>
      <c r="S263" s="407"/>
      <c r="T263" s="94"/>
      <c r="U263" s="136" t="str">
        <f>IF(ISNUMBER(VLOOKUP(LEFT(R263,3),'Material editor'!$D$11:$H$110,'Material editor'!$E$8,0)),VLOOKUP(LEFT(R263,3),'Material editor'!$D$11:$H$110,'Material editor'!$E$8,0),"")</f>
        <v/>
      </c>
      <c r="V263" s="137" t="str">
        <f>IF(ISNUMBER(VLOOKUP(LEFT(R263,3),'Material editor'!$D$11:$H$110,'Material editor'!$F$8,0)),VLOOKUP(LEFT(R263,3),'Material editor'!$D$11:$H$110,'Material editor'!$F$8,0),"")</f>
        <v/>
      </c>
      <c r="W263" s="137" t="str">
        <f>IF(ISNUMBER(VLOOKUP(LEFT(R263,3),'Material editor'!$D$11:$H$110,'Material editor'!$G$8,0)),VLOOKUP(LEFT(R263,3),'Material editor'!$D$11:$H$110,'Material editor'!$G$8,0),"")</f>
        <v/>
      </c>
      <c r="X263" s="137" t="str">
        <f>IF(ISNUMBER(VLOOKUP(LEFT(R263,3),'Material editor'!$D$11:$H$110,'Material editor'!$H$8,0)),VLOOKUP(LEFT(R263,3),'Material editor'!$D$11:$H$110,'Material editor'!$H$8,0),"")</f>
        <v/>
      </c>
      <c r="Y263" s="74"/>
      <c r="Z263" s="94">
        <v>457</v>
      </c>
      <c r="AA263" s="8"/>
      <c r="AB263" s="61"/>
      <c r="AC263" s="65"/>
      <c r="AD263" s="65"/>
      <c r="AE263" s="95">
        <f t="shared" si="188"/>
        <v>6.5285714285714285</v>
      </c>
      <c r="AF263" s="95">
        <f t="shared" si="189"/>
        <v>6.5285714285714285</v>
      </c>
      <c r="AG263" s="95">
        <f t="shared" si="190"/>
        <v>6.5285714285714285</v>
      </c>
      <c r="AH263" s="65"/>
      <c r="AI263" s="95">
        <f t="shared" si="191"/>
        <v>7.0000000000000007E-2</v>
      </c>
      <c r="AJ263" s="95">
        <f t="shared" si="192"/>
        <v>7.0000000000000007E-2</v>
      </c>
      <c r="AK263" s="95">
        <f t="shared" si="193"/>
        <v>7.0000000000000007E-2</v>
      </c>
      <c r="AL263" s="65"/>
      <c r="AM263" s="96">
        <f t="shared" ref="AM263:AO263" si="195">AM262</f>
        <v>1</v>
      </c>
      <c r="AN263" s="96">
        <f t="shared" si="195"/>
        <v>0</v>
      </c>
      <c r="AO263" s="96">
        <f t="shared" si="195"/>
        <v>0</v>
      </c>
      <c r="AP263" s="65">
        <f t="shared" si="194"/>
        <v>6.5285714285714285</v>
      </c>
      <c r="AQ263" s="65"/>
      <c r="AR263" s="65"/>
      <c r="AS263" s="65"/>
      <c r="AT263" s="95">
        <f>IF(ISNUMBER(H263),H263*F263*Z263/1000*Balance!$H$13/J263,0)</f>
        <v>58.172291666666659</v>
      </c>
      <c r="AU263" s="95">
        <f>IF(ISTEXT(K263),IF(ISNUMBER(O263),O263*M263*Z263/1000*Balance!$H$13/Q263,0),AT263)</f>
        <v>58.172291666666659</v>
      </c>
      <c r="AV263" s="95">
        <f>IF(ISTEXT(R263),IF(ISNUMBER(V263),V263*T263*Z263/1000*Balance!$H$13/X263,0),AT263)</f>
        <v>58.172291666666659</v>
      </c>
      <c r="AW263" s="65"/>
      <c r="AX263" s="95">
        <f>AT263*AX260</f>
        <v>58.172291666666659</v>
      </c>
      <c r="AY263" s="95">
        <f>AU263*AY260</f>
        <v>0</v>
      </c>
      <c r="AZ263" s="95">
        <f>AV263*AZ260</f>
        <v>0</v>
      </c>
      <c r="BA263" s="95">
        <f t="shared" ref="BA263:BA269" si="196">SUM(AX263:AZ263)</f>
        <v>58.172291666666659</v>
      </c>
      <c r="BB263" s="65"/>
      <c r="BC263" s="95">
        <f>IF(ISNUMBER(I263),I263*F263*Z263/1000*Balance!$H$13/J263,0)</f>
        <v>16.680499999999999</v>
      </c>
      <c r="BD263" s="95">
        <f>IF(ISTEXT(K263),IF(ISNUMBER(P263),P263*M263*Z263/1000*Balance!$H$13/Q263,0),BC263)</f>
        <v>16.680499999999999</v>
      </c>
      <c r="BE263" s="95">
        <f>IF(ISTEXT(R263),IF(ISNUMBER(W263),W263*T263*Z263/1000*Balance!$H$13/X263,0),BC263)</f>
        <v>16.680499999999999</v>
      </c>
      <c r="BF263" s="65"/>
      <c r="BG263" s="95">
        <f>BC263*BG260</f>
        <v>16.680499999999999</v>
      </c>
      <c r="BH263" s="95">
        <f>BD263*BH260</f>
        <v>0</v>
      </c>
      <c r="BI263" s="95">
        <f>BE263*BI260</f>
        <v>0</v>
      </c>
      <c r="BJ263" s="95">
        <f t="shared" ref="BJ263:BJ269" si="197">SUM(BG263:BI263)</f>
        <v>16.680499999999999</v>
      </c>
      <c r="BK263" s="65"/>
      <c r="BL263" s="65"/>
      <c r="BM263" s="65"/>
    </row>
    <row r="264" spans="1:65" outlineLevel="1" x14ac:dyDescent="0.25">
      <c r="A264" s="61"/>
      <c r="B264" s="272"/>
      <c r="C264" s="91"/>
      <c r="D264" s="418" t="s">
        <v>1027</v>
      </c>
      <c r="E264" s="419"/>
      <c r="F264" s="94">
        <v>1</v>
      </c>
      <c r="G264" s="136">
        <f>IF(ISNUMBER(VLOOKUP(LEFT(D264,3),'Material editor'!$D$11:$H$110,'Material editor'!$E$8,0)),VLOOKUP(LEFT(D264,3),'Material editor'!$D$11:$H$110,'Material editor'!$E$8,0),"")</f>
        <v>1</v>
      </c>
      <c r="H264" s="137">
        <f>IF(ISNUMBER(VLOOKUP(LEFT(D264,3),'Material editor'!$D$11:$H$110,'Material editor'!$F$8,0)),VLOOKUP(LEFT(D264,3),'Material editor'!$D$11:$H$110,'Material editor'!$F$8,0),"")</f>
        <v>905.22046069906946</v>
      </c>
      <c r="I264" s="137">
        <f>IF(ISNUMBER(VLOOKUP(LEFT(D264,3),'Material editor'!$D$11:$H$110,'Material editor'!$G$8,0)),VLOOKUP(LEFT(D264,3),'Material editor'!$D$11:$H$110,'Material editor'!$G$8,0),"")</f>
        <v>354.91241395986202</v>
      </c>
      <c r="J264" s="137">
        <f>IF(ISNUMBER(VLOOKUP(LEFT(D264,3),'Material editor'!$D$11:$H$110,'Material editor'!$H$8,0)),VLOOKUP(LEFT(D264,3),'Material editor'!$D$11:$H$110,'Material editor'!$H$8,0),"")</f>
        <v>40</v>
      </c>
      <c r="K264" s="418"/>
      <c r="L264" s="407"/>
      <c r="M264" s="94"/>
      <c r="N264" s="136" t="str">
        <f>IF(ISNUMBER(VLOOKUP(LEFT(K264,3),'Material editor'!$D$11:$H$110,'Material editor'!$E$8,0)),VLOOKUP(LEFT(K264,3),'Material editor'!$D$11:$H$110,'Material editor'!$E$8,0),"")</f>
        <v/>
      </c>
      <c r="O264" s="137" t="str">
        <f>IF(ISNUMBER(VLOOKUP(LEFT(K264,3),'Material editor'!$D$11:$H$110,'Material editor'!$F$8,0)),VLOOKUP(LEFT(K264,3),'Material editor'!$D$11:$H$110,'Material editor'!$F$8,0),"")</f>
        <v/>
      </c>
      <c r="P264" s="137" t="str">
        <f>IF(ISNUMBER(VLOOKUP(LEFT(K264,3),'Material editor'!$D$11:$H$110,'Material editor'!$G$8,0)),VLOOKUP(LEFT(K264,3),'Material editor'!$D$11:$H$110,'Material editor'!$G$8,0),"")</f>
        <v/>
      </c>
      <c r="Q264" s="137" t="str">
        <f>IF(ISNUMBER(VLOOKUP(LEFT(K264,3),'Material editor'!$D$11:$H$110,'Material editor'!$H$8,0)),VLOOKUP(LEFT(K264,3),'Material editor'!$D$11:$H$110,'Material editor'!$H$8,0),"")</f>
        <v/>
      </c>
      <c r="R264" s="418"/>
      <c r="S264" s="407"/>
      <c r="T264" s="94"/>
      <c r="U264" s="136" t="str">
        <f>IF(ISNUMBER(VLOOKUP(LEFT(R264,3),'Material editor'!$D$11:$H$110,'Material editor'!$E$8,0)),VLOOKUP(LEFT(R264,3),'Material editor'!$D$11:$H$110,'Material editor'!$E$8,0),"")</f>
        <v/>
      </c>
      <c r="V264" s="137" t="str">
        <f>IF(ISNUMBER(VLOOKUP(LEFT(R264,3),'Material editor'!$D$11:$H$110,'Material editor'!$F$8,0)),VLOOKUP(LEFT(R264,3),'Material editor'!$D$11:$H$110,'Material editor'!$F$8,0),"")</f>
        <v/>
      </c>
      <c r="W264" s="137" t="str">
        <f>IF(ISNUMBER(VLOOKUP(LEFT(R264,3),'Material editor'!$D$11:$H$110,'Material editor'!$G$8,0)),VLOOKUP(LEFT(R264,3),'Material editor'!$D$11:$H$110,'Material editor'!$G$8,0),"")</f>
        <v/>
      </c>
      <c r="X264" s="137" t="str">
        <f>IF(ISNUMBER(VLOOKUP(LEFT(R264,3),'Material editor'!$D$11:$H$110,'Material editor'!$H$8,0)),VLOOKUP(LEFT(R264,3),'Material editor'!$D$11:$H$110,'Material editor'!$H$8,0),"")</f>
        <v/>
      </c>
      <c r="Y264" s="74"/>
      <c r="Z264" s="94">
        <v>20</v>
      </c>
      <c r="AA264" s="8"/>
      <c r="AB264" s="61"/>
      <c r="AC264" s="65"/>
      <c r="AD264" s="65"/>
      <c r="AE264" s="95">
        <f t="shared" si="188"/>
        <v>0.02</v>
      </c>
      <c r="AF264" s="95">
        <f t="shared" si="189"/>
        <v>0.02</v>
      </c>
      <c r="AG264" s="95">
        <f t="shared" si="190"/>
        <v>0.02</v>
      </c>
      <c r="AH264" s="65"/>
      <c r="AI264" s="95">
        <f t="shared" si="191"/>
        <v>1</v>
      </c>
      <c r="AJ264" s="95">
        <f t="shared" si="192"/>
        <v>1</v>
      </c>
      <c r="AK264" s="95">
        <f t="shared" si="193"/>
        <v>1</v>
      </c>
      <c r="AL264" s="65"/>
      <c r="AM264" s="96">
        <f t="shared" ref="AM264:AO264" si="198">AM263</f>
        <v>1</v>
      </c>
      <c r="AN264" s="96">
        <f t="shared" si="198"/>
        <v>0</v>
      </c>
      <c r="AO264" s="96">
        <f t="shared" si="198"/>
        <v>0</v>
      </c>
      <c r="AP264" s="65">
        <f t="shared" si="194"/>
        <v>0.02</v>
      </c>
      <c r="AQ264" s="65"/>
      <c r="AR264" s="65"/>
      <c r="AS264" s="65"/>
      <c r="AT264" s="95">
        <f>IF(ISNUMBER(H264),H264*F264*Z264/1000*Balance!$H$13/J264,0)</f>
        <v>9.0522046069906938</v>
      </c>
      <c r="AU264" s="95">
        <f>IF(ISTEXT(K264),IF(ISNUMBER(O264),O264*M264*Z264/1000*Balance!$H$13/Q264,0),AT264)</f>
        <v>9.0522046069906938</v>
      </c>
      <c r="AV264" s="95">
        <f>IF(ISTEXT(R264),IF(ISNUMBER(V264),V264*T264*Z264/1000*Balance!$H$13/X264,0),AT264)</f>
        <v>9.0522046069906938</v>
      </c>
      <c r="AW264" s="65"/>
      <c r="AX264" s="95">
        <f>AT264*AX260</f>
        <v>9.0522046069906938</v>
      </c>
      <c r="AY264" s="95">
        <f>AU264*AY260</f>
        <v>0</v>
      </c>
      <c r="AZ264" s="95">
        <f>AV264*AZ260</f>
        <v>0</v>
      </c>
      <c r="BA264" s="95">
        <f t="shared" si="196"/>
        <v>9.0522046069906938</v>
      </c>
      <c r="BB264" s="65"/>
      <c r="BC264" s="95">
        <f>IF(ISNUMBER(I264),I264*F264*Z264/1000*Balance!$H$13/J264,0)</f>
        <v>3.5491241395986202</v>
      </c>
      <c r="BD264" s="95">
        <f>IF(ISTEXT(K264),IF(ISNUMBER(P264),P264*M264*Z264/1000*Balance!$H$13/Q264,0),BC264)</f>
        <v>3.5491241395986202</v>
      </c>
      <c r="BE264" s="95">
        <f>IF(ISTEXT(R264),IF(ISNUMBER(W264),W264*T264*Z264/1000*Balance!$H$13/X264,0),BC264)</f>
        <v>3.5491241395986202</v>
      </c>
      <c r="BF264" s="65"/>
      <c r="BG264" s="95">
        <f>BC264*BG260</f>
        <v>3.5491241395986202</v>
      </c>
      <c r="BH264" s="95">
        <f>BD264*BH260</f>
        <v>0</v>
      </c>
      <c r="BI264" s="95">
        <f>BE264*BI260</f>
        <v>0</v>
      </c>
      <c r="BJ264" s="95">
        <f t="shared" si="197"/>
        <v>3.5491241395986202</v>
      </c>
      <c r="BK264" s="65"/>
      <c r="BL264" s="65"/>
      <c r="BM264" s="65"/>
    </row>
    <row r="265" spans="1:65" outlineLevel="1" x14ac:dyDescent="0.25">
      <c r="A265" s="61"/>
      <c r="B265" s="272"/>
      <c r="C265" s="91"/>
      <c r="D265" s="418"/>
      <c r="E265" s="407"/>
      <c r="F265" s="94"/>
      <c r="G265" s="136" t="str">
        <f>IF(ISNUMBER(VLOOKUP(LEFT(D265,3),'Material editor'!$D$11:$H$110,'Material editor'!$E$8,0)),VLOOKUP(LEFT(D265,3),'Material editor'!$D$11:$H$110,'Material editor'!$E$8,0),"")</f>
        <v/>
      </c>
      <c r="H265" s="137" t="str">
        <f>IF(ISNUMBER(VLOOKUP(LEFT(D265,3),'Material editor'!$D$11:$H$110,'Material editor'!$F$8,0)),VLOOKUP(LEFT(D265,3),'Material editor'!$D$11:$H$110,'Material editor'!$F$8,0),"")</f>
        <v/>
      </c>
      <c r="I265" s="137" t="str">
        <f>IF(ISNUMBER(VLOOKUP(LEFT(D265,3),'Material editor'!$D$11:$H$110,'Material editor'!$G$8,0)),VLOOKUP(LEFT(D265,3),'Material editor'!$D$11:$H$110,'Material editor'!$G$8,0),"")</f>
        <v/>
      </c>
      <c r="J265" s="137" t="str">
        <f>IF(ISNUMBER(VLOOKUP(LEFT(D265,3),'Material editor'!$D$11:$H$110,'Material editor'!$H$8,0)),VLOOKUP(LEFT(D265,3),'Material editor'!$D$11:$H$110,'Material editor'!$H$8,0),"")</f>
        <v/>
      </c>
      <c r="K265" s="418"/>
      <c r="L265" s="407"/>
      <c r="M265" s="94"/>
      <c r="N265" s="136" t="str">
        <f>IF(ISNUMBER(VLOOKUP(LEFT(K265,3),'Material editor'!$D$11:$H$110,'Material editor'!$E$8,0)),VLOOKUP(LEFT(K265,3),'Material editor'!$D$11:$H$110,'Material editor'!$E$8,0),"")</f>
        <v/>
      </c>
      <c r="O265" s="137" t="str">
        <f>IF(ISNUMBER(VLOOKUP(LEFT(K265,3),'Material editor'!$D$11:$H$110,'Material editor'!$F$8,0)),VLOOKUP(LEFT(K265,3),'Material editor'!$D$11:$H$110,'Material editor'!$F$8,0),"")</f>
        <v/>
      </c>
      <c r="P265" s="137" t="str">
        <f>IF(ISNUMBER(VLOOKUP(LEFT(K265,3),'Material editor'!$D$11:$H$110,'Material editor'!$G$8,0)),VLOOKUP(LEFT(K265,3),'Material editor'!$D$11:$H$110,'Material editor'!$G$8,0),"")</f>
        <v/>
      </c>
      <c r="Q265" s="137" t="str">
        <f>IF(ISNUMBER(VLOOKUP(LEFT(K265,3),'Material editor'!$D$11:$H$110,'Material editor'!$H$8,0)),VLOOKUP(LEFT(K265,3),'Material editor'!$D$11:$H$110,'Material editor'!$H$8,0),"")</f>
        <v/>
      </c>
      <c r="R265" s="418"/>
      <c r="S265" s="407"/>
      <c r="T265" s="94"/>
      <c r="U265" s="136" t="str">
        <f>IF(ISNUMBER(VLOOKUP(LEFT(R265,3),'Material editor'!$D$11:$H$110,'Material editor'!$E$8,0)),VLOOKUP(LEFT(R265,3),'Material editor'!$D$11:$H$110,'Material editor'!$E$8,0),"")</f>
        <v/>
      </c>
      <c r="V265" s="137" t="str">
        <f>IF(ISNUMBER(VLOOKUP(LEFT(R265,3),'Material editor'!$D$11:$H$110,'Material editor'!$F$8,0)),VLOOKUP(LEFT(R265,3),'Material editor'!$D$11:$H$110,'Material editor'!$F$8,0),"")</f>
        <v/>
      </c>
      <c r="W265" s="137" t="str">
        <f>IF(ISNUMBER(VLOOKUP(LEFT(R265,3),'Material editor'!$D$11:$H$110,'Material editor'!$G$8,0)),VLOOKUP(LEFT(R265,3),'Material editor'!$D$11:$H$110,'Material editor'!$G$8,0),"")</f>
        <v/>
      </c>
      <c r="X265" s="137" t="str">
        <f>IF(ISNUMBER(VLOOKUP(LEFT(R265,3),'Material editor'!$D$11:$H$110,'Material editor'!$H$8,0)),VLOOKUP(LEFT(R265,3),'Material editor'!$D$11:$H$110,'Material editor'!$H$8,0),"")</f>
        <v/>
      </c>
      <c r="Y265" s="74"/>
      <c r="Z265" s="94"/>
      <c r="AA265" s="8"/>
      <c r="AB265" s="61"/>
      <c r="AC265" s="65"/>
      <c r="AD265" s="65"/>
      <c r="AE265" s="95">
        <f t="shared" si="188"/>
        <v>0</v>
      </c>
      <c r="AF265" s="95">
        <f t="shared" si="189"/>
        <v>0</v>
      </c>
      <c r="AG265" s="95">
        <f t="shared" si="190"/>
        <v>0</v>
      </c>
      <c r="AH265" s="65"/>
      <c r="AI265" s="95">
        <f t="shared" si="191"/>
        <v>0</v>
      </c>
      <c r="AJ265" s="95">
        <f t="shared" si="192"/>
        <v>0</v>
      </c>
      <c r="AK265" s="95">
        <f t="shared" si="193"/>
        <v>0</v>
      </c>
      <c r="AL265" s="65"/>
      <c r="AM265" s="96">
        <f t="shared" ref="AM265:AO265" si="199">AM264</f>
        <v>1</v>
      </c>
      <c r="AN265" s="96">
        <f t="shared" si="199"/>
        <v>0</v>
      </c>
      <c r="AO265" s="96">
        <f t="shared" si="199"/>
        <v>0</v>
      </c>
      <c r="AP265" s="65">
        <f t="shared" si="194"/>
        <v>0</v>
      </c>
      <c r="AQ265" s="65"/>
      <c r="AR265" s="65"/>
      <c r="AS265" s="65"/>
      <c r="AT265" s="95">
        <f>IF(ISNUMBER(H265),H265*F265*Z265/1000*Balance!$H$13/J265,0)</f>
        <v>0</v>
      </c>
      <c r="AU265" s="95">
        <f>IF(ISTEXT(K265),IF(ISNUMBER(O265),O265*M265*Z265/1000*Balance!$H$13/Q265,0),AT265)</f>
        <v>0</v>
      </c>
      <c r="AV265" s="95">
        <f>IF(ISTEXT(R265),IF(ISNUMBER(V265),V265*T265*Z265/1000*Balance!$H$13/X265,0),AT265)</f>
        <v>0</v>
      </c>
      <c r="AW265" s="65"/>
      <c r="AX265" s="95">
        <f>AT265*AX260</f>
        <v>0</v>
      </c>
      <c r="AY265" s="95">
        <f>AU265*AY260</f>
        <v>0</v>
      </c>
      <c r="AZ265" s="95">
        <f>AV265*AZ260</f>
        <v>0</v>
      </c>
      <c r="BA265" s="95">
        <f t="shared" si="196"/>
        <v>0</v>
      </c>
      <c r="BB265" s="65"/>
      <c r="BC265" s="95">
        <f>IF(ISNUMBER(I265),I265*F265*Z265/1000*Balance!$H$13/J265,0)</f>
        <v>0</v>
      </c>
      <c r="BD265" s="95">
        <f>IF(ISTEXT(K265),IF(ISNUMBER(P265),P265*M265*Z265/1000*Balance!$H$13/Q265,0),BC265)</f>
        <v>0</v>
      </c>
      <c r="BE265" s="95">
        <f>IF(ISTEXT(R265),IF(ISNUMBER(W265),W265*T265*Z265/1000*Balance!$H$13/X265,0),BC265)</f>
        <v>0</v>
      </c>
      <c r="BF265" s="65"/>
      <c r="BG265" s="95">
        <f>BC265*BG260</f>
        <v>0</v>
      </c>
      <c r="BH265" s="95">
        <f>BD265*BH260</f>
        <v>0</v>
      </c>
      <c r="BI265" s="95">
        <f>BE265*BI260</f>
        <v>0</v>
      </c>
      <c r="BJ265" s="95">
        <f t="shared" si="197"/>
        <v>0</v>
      </c>
      <c r="BK265" s="65"/>
      <c r="BL265" s="65"/>
      <c r="BM265" s="65"/>
    </row>
    <row r="266" spans="1:65" outlineLevel="1" x14ac:dyDescent="0.25">
      <c r="A266" s="61"/>
      <c r="B266" s="272"/>
      <c r="C266" s="91"/>
      <c r="D266" s="418"/>
      <c r="E266" s="407"/>
      <c r="F266" s="94"/>
      <c r="G266" s="136" t="str">
        <f>IF(ISNUMBER(VLOOKUP(LEFT(D266,3),'Material editor'!$D$11:$H$110,'Material editor'!$E$8,0)),VLOOKUP(LEFT(D266,3),'Material editor'!$D$11:$H$110,'Material editor'!$E$8,0),"")</f>
        <v/>
      </c>
      <c r="H266" s="137" t="str">
        <f>IF(ISNUMBER(VLOOKUP(LEFT(D266,3),'Material editor'!$D$11:$H$110,'Material editor'!$F$8,0)),VLOOKUP(LEFT(D266,3),'Material editor'!$D$11:$H$110,'Material editor'!$F$8,0),"")</f>
        <v/>
      </c>
      <c r="I266" s="137" t="str">
        <f>IF(ISNUMBER(VLOOKUP(LEFT(D266,3),'Material editor'!$D$11:$H$110,'Material editor'!$G$8,0)),VLOOKUP(LEFT(D266,3),'Material editor'!$D$11:$H$110,'Material editor'!$G$8,0),"")</f>
        <v/>
      </c>
      <c r="J266" s="137" t="str">
        <f>IF(ISNUMBER(VLOOKUP(LEFT(D266,3),'Material editor'!$D$11:$H$110,'Material editor'!$H$8,0)),VLOOKUP(LEFT(D266,3),'Material editor'!$D$11:$H$110,'Material editor'!$H$8,0),"")</f>
        <v/>
      </c>
      <c r="K266" s="418"/>
      <c r="L266" s="407"/>
      <c r="M266" s="94"/>
      <c r="N266" s="136" t="str">
        <f>IF(ISNUMBER(VLOOKUP(LEFT(K266,3),'Material editor'!$D$11:$H$110,'Material editor'!$E$8,0)),VLOOKUP(LEFT(K266,3),'Material editor'!$D$11:$H$110,'Material editor'!$E$8,0),"")</f>
        <v/>
      </c>
      <c r="O266" s="137" t="str">
        <f>IF(ISNUMBER(VLOOKUP(LEFT(K266,3),'Material editor'!$D$11:$H$110,'Material editor'!$F$8,0)),VLOOKUP(LEFT(K266,3),'Material editor'!$D$11:$H$110,'Material editor'!$F$8,0),"")</f>
        <v/>
      </c>
      <c r="P266" s="137" t="str">
        <f>IF(ISNUMBER(VLOOKUP(LEFT(K266,3),'Material editor'!$D$11:$H$110,'Material editor'!$G$8,0)),VLOOKUP(LEFT(K266,3),'Material editor'!$D$11:$H$110,'Material editor'!$G$8,0),"")</f>
        <v/>
      </c>
      <c r="Q266" s="137" t="str">
        <f>IF(ISNUMBER(VLOOKUP(LEFT(K266,3),'Material editor'!$D$11:$H$110,'Material editor'!$H$8,0)),VLOOKUP(LEFT(K266,3),'Material editor'!$D$11:$H$110,'Material editor'!$H$8,0),"")</f>
        <v/>
      </c>
      <c r="R266" s="418"/>
      <c r="S266" s="407"/>
      <c r="T266" s="94"/>
      <c r="U266" s="136" t="str">
        <f>IF(ISNUMBER(VLOOKUP(LEFT(R266,3),'Material editor'!$D$11:$H$110,'Material editor'!$E$8,0)),VLOOKUP(LEFT(R266,3),'Material editor'!$D$11:$H$110,'Material editor'!$E$8,0),"")</f>
        <v/>
      </c>
      <c r="V266" s="137" t="str">
        <f>IF(ISNUMBER(VLOOKUP(LEFT(R266,3),'Material editor'!$D$11:$H$110,'Material editor'!$F$8,0)),VLOOKUP(LEFT(R266,3),'Material editor'!$D$11:$H$110,'Material editor'!$F$8,0),"")</f>
        <v/>
      </c>
      <c r="W266" s="137" t="str">
        <f>IF(ISNUMBER(VLOOKUP(LEFT(R266,3),'Material editor'!$D$11:$H$110,'Material editor'!$G$8,0)),VLOOKUP(LEFT(R266,3),'Material editor'!$D$11:$H$110,'Material editor'!$G$8,0),"")</f>
        <v/>
      </c>
      <c r="X266" s="137" t="str">
        <f>IF(ISNUMBER(VLOOKUP(LEFT(R266,3),'Material editor'!$D$11:$H$110,'Material editor'!$H$8,0)),VLOOKUP(LEFT(R266,3),'Material editor'!$D$11:$H$110,'Material editor'!$H$8,0),"")</f>
        <v/>
      </c>
      <c r="Y266" s="74"/>
      <c r="Z266" s="94"/>
      <c r="AA266" s="8"/>
      <c r="AB266" s="61"/>
      <c r="AC266" s="65"/>
      <c r="AD266" s="65"/>
      <c r="AE266" s="95">
        <f t="shared" si="188"/>
        <v>0</v>
      </c>
      <c r="AF266" s="95">
        <f t="shared" si="189"/>
        <v>0</v>
      </c>
      <c r="AG266" s="95">
        <f t="shared" si="190"/>
        <v>0</v>
      </c>
      <c r="AH266" s="65"/>
      <c r="AI266" s="95">
        <f t="shared" si="191"/>
        <v>0</v>
      </c>
      <c r="AJ266" s="95">
        <f t="shared" si="192"/>
        <v>0</v>
      </c>
      <c r="AK266" s="95">
        <f t="shared" si="193"/>
        <v>0</v>
      </c>
      <c r="AL266" s="65"/>
      <c r="AM266" s="96">
        <f t="shared" ref="AM266:AO266" si="200">AM265</f>
        <v>1</v>
      </c>
      <c r="AN266" s="96">
        <f t="shared" si="200"/>
        <v>0</v>
      </c>
      <c r="AO266" s="96">
        <f t="shared" si="200"/>
        <v>0</v>
      </c>
      <c r="AP266" s="65">
        <f t="shared" si="194"/>
        <v>0</v>
      </c>
      <c r="AQ266" s="65"/>
      <c r="AR266" s="65"/>
      <c r="AS266" s="65"/>
      <c r="AT266" s="95">
        <f>IF(ISNUMBER(H266),H266*F266*Z266/1000*Balance!$H$13/J266,0)</f>
        <v>0</v>
      </c>
      <c r="AU266" s="95">
        <f>IF(ISTEXT(K266),IF(ISNUMBER(O266),O266*M266*Z266/1000*Balance!$H$13/Q266,0),AT266)</f>
        <v>0</v>
      </c>
      <c r="AV266" s="95">
        <f>IF(ISTEXT(R266),IF(ISNUMBER(V266),V266*T266*Z266/1000*Balance!$H$13/X266,0),AT266)</f>
        <v>0</v>
      </c>
      <c r="AW266" s="65"/>
      <c r="AX266" s="95">
        <f>AT266*AX260</f>
        <v>0</v>
      </c>
      <c r="AY266" s="95">
        <f>AU266*AY260</f>
        <v>0</v>
      </c>
      <c r="AZ266" s="95">
        <f>AV266*AZ260</f>
        <v>0</v>
      </c>
      <c r="BA266" s="95">
        <f t="shared" si="196"/>
        <v>0</v>
      </c>
      <c r="BB266" s="65"/>
      <c r="BC266" s="95">
        <f>IF(ISNUMBER(I266),I266*F266*Z266/1000*Balance!$H$13/J266,0)</f>
        <v>0</v>
      </c>
      <c r="BD266" s="95">
        <f>IF(ISTEXT(K266),IF(ISNUMBER(P266),P266*M266*Z266/1000*Balance!$H$13/Q266,0),BC266)</f>
        <v>0</v>
      </c>
      <c r="BE266" s="95">
        <f>IF(ISTEXT(R266),IF(ISNUMBER(W266),W266*T266*Z266/1000*Balance!$H$13/X266,0),BC266)</f>
        <v>0</v>
      </c>
      <c r="BF266" s="65"/>
      <c r="BG266" s="95">
        <f>BC266*BG260</f>
        <v>0</v>
      </c>
      <c r="BH266" s="95">
        <f>BD266*BH260</f>
        <v>0</v>
      </c>
      <c r="BI266" s="95">
        <f>BE266*BI260</f>
        <v>0</v>
      </c>
      <c r="BJ266" s="95">
        <f t="shared" si="197"/>
        <v>0</v>
      </c>
      <c r="BK266" s="65"/>
      <c r="BL266" s="65"/>
      <c r="BM266" s="65"/>
    </row>
    <row r="267" spans="1:65" outlineLevel="1" x14ac:dyDescent="0.25">
      <c r="A267" s="61"/>
      <c r="B267" s="272"/>
      <c r="C267" s="91"/>
      <c r="D267" s="418"/>
      <c r="E267" s="407"/>
      <c r="F267" s="94"/>
      <c r="G267" s="136" t="str">
        <f>IF(ISNUMBER(VLOOKUP(LEFT(D267,3),'Material editor'!$D$11:$H$110,'Material editor'!$E$8,0)),VLOOKUP(LEFT(D267,3),'Material editor'!$D$11:$H$110,'Material editor'!$E$8,0),"")</f>
        <v/>
      </c>
      <c r="H267" s="137" t="str">
        <f>IF(ISNUMBER(VLOOKUP(LEFT(D267,3),'Material editor'!$D$11:$H$110,'Material editor'!$F$8,0)),VLOOKUP(LEFT(D267,3),'Material editor'!$D$11:$H$110,'Material editor'!$F$8,0),"")</f>
        <v/>
      </c>
      <c r="I267" s="137" t="str">
        <f>IF(ISNUMBER(VLOOKUP(LEFT(D267,3),'Material editor'!$D$11:$H$110,'Material editor'!$G$8,0)),VLOOKUP(LEFT(D267,3),'Material editor'!$D$11:$H$110,'Material editor'!$G$8,0),"")</f>
        <v/>
      </c>
      <c r="J267" s="137" t="str">
        <f>IF(ISNUMBER(VLOOKUP(LEFT(D267,3),'Material editor'!$D$11:$H$110,'Material editor'!$H$8,0)),VLOOKUP(LEFT(D267,3),'Material editor'!$D$11:$H$110,'Material editor'!$H$8,0),"")</f>
        <v/>
      </c>
      <c r="K267" s="418"/>
      <c r="L267" s="407"/>
      <c r="M267" s="94"/>
      <c r="N267" s="136" t="str">
        <f>IF(ISNUMBER(VLOOKUP(LEFT(K267,3),'Material editor'!$D$11:$H$110,'Material editor'!$E$8,0)),VLOOKUP(LEFT(K267,3),'Material editor'!$D$11:$H$110,'Material editor'!$E$8,0),"")</f>
        <v/>
      </c>
      <c r="O267" s="137" t="str">
        <f>IF(ISNUMBER(VLOOKUP(LEFT(K267,3),'Material editor'!$D$11:$H$110,'Material editor'!$F$8,0)),VLOOKUP(LEFT(K267,3),'Material editor'!$D$11:$H$110,'Material editor'!$F$8,0),"")</f>
        <v/>
      </c>
      <c r="P267" s="137" t="str">
        <f>IF(ISNUMBER(VLOOKUP(LEFT(K267,3),'Material editor'!$D$11:$H$110,'Material editor'!$G$8,0)),VLOOKUP(LEFT(K267,3),'Material editor'!$D$11:$H$110,'Material editor'!$G$8,0),"")</f>
        <v/>
      </c>
      <c r="Q267" s="137" t="str">
        <f>IF(ISNUMBER(VLOOKUP(LEFT(K267,3),'Material editor'!$D$11:$H$110,'Material editor'!$H$8,0)),VLOOKUP(LEFT(K267,3),'Material editor'!$D$11:$H$110,'Material editor'!$H$8,0),"")</f>
        <v/>
      </c>
      <c r="R267" s="418"/>
      <c r="S267" s="407"/>
      <c r="T267" s="94"/>
      <c r="U267" s="136" t="str">
        <f>IF(ISNUMBER(VLOOKUP(LEFT(R267,3),'Material editor'!$D$11:$H$110,'Material editor'!$E$8,0)),VLOOKUP(LEFT(R267,3),'Material editor'!$D$11:$H$110,'Material editor'!$E$8,0),"")</f>
        <v/>
      </c>
      <c r="V267" s="137" t="str">
        <f>IF(ISNUMBER(VLOOKUP(LEFT(R267,3),'Material editor'!$D$11:$H$110,'Material editor'!$F$8,0)),VLOOKUP(LEFT(R267,3),'Material editor'!$D$11:$H$110,'Material editor'!$F$8,0),"")</f>
        <v/>
      </c>
      <c r="W267" s="137" t="str">
        <f>IF(ISNUMBER(VLOOKUP(LEFT(R267,3),'Material editor'!$D$11:$H$110,'Material editor'!$G$8,0)),VLOOKUP(LEFT(R267,3),'Material editor'!$D$11:$H$110,'Material editor'!$G$8,0),"")</f>
        <v/>
      </c>
      <c r="X267" s="137" t="str">
        <f>IF(ISNUMBER(VLOOKUP(LEFT(R267,3),'Material editor'!$D$11:$H$110,'Material editor'!$H$8,0)),VLOOKUP(LEFT(R267,3),'Material editor'!$D$11:$H$110,'Material editor'!$H$8,0),"")</f>
        <v/>
      </c>
      <c r="Y267" s="74"/>
      <c r="Z267" s="94"/>
      <c r="AA267" s="8"/>
      <c r="AB267" s="61"/>
      <c r="AC267" s="65"/>
      <c r="AD267" s="65"/>
      <c r="AE267" s="95">
        <f t="shared" si="188"/>
        <v>0</v>
      </c>
      <c r="AF267" s="95">
        <f t="shared" si="189"/>
        <v>0</v>
      </c>
      <c r="AG267" s="95">
        <f t="shared" si="190"/>
        <v>0</v>
      </c>
      <c r="AH267" s="65"/>
      <c r="AI267" s="95">
        <f t="shared" si="191"/>
        <v>0</v>
      </c>
      <c r="AJ267" s="95">
        <f t="shared" si="192"/>
        <v>0</v>
      </c>
      <c r="AK267" s="95">
        <f t="shared" si="193"/>
        <v>0</v>
      </c>
      <c r="AL267" s="65"/>
      <c r="AM267" s="96">
        <f t="shared" ref="AM267:AO267" si="201">AM266</f>
        <v>1</v>
      </c>
      <c r="AN267" s="96">
        <f t="shared" si="201"/>
        <v>0</v>
      </c>
      <c r="AO267" s="96">
        <f t="shared" si="201"/>
        <v>0</v>
      </c>
      <c r="AP267" s="65">
        <f t="shared" si="194"/>
        <v>0</v>
      </c>
      <c r="AQ267" s="65"/>
      <c r="AR267" s="65"/>
      <c r="AS267" s="66"/>
      <c r="AT267" s="95">
        <f>IF(ISNUMBER(H267),H267*F267*Z267/1000*Balance!$H$13/J267,0)</f>
        <v>0</v>
      </c>
      <c r="AU267" s="95">
        <f>IF(ISTEXT(K267),IF(ISNUMBER(O267),O267*M267*Z267/1000*Balance!$H$13/Q267,0),AT267)</f>
        <v>0</v>
      </c>
      <c r="AV267" s="95">
        <f>IF(ISTEXT(R267),IF(ISNUMBER(V267),V267*T267*Z267/1000*Balance!$H$13/X267,0),AT267)</f>
        <v>0</v>
      </c>
      <c r="AW267" s="66"/>
      <c r="AX267" s="95">
        <f>AT267*AX260</f>
        <v>0</v>
      </c>
      <c r="AY267" s="95">
        <f>AU267*AY260</f>
        <v>0</v>
      </c>
      <c r="AZ267" s="95">
        <f>AV267*AZ260</f>
        <v>0</v>
      </c>
      <c r="BA267" s="95">
        <f t="shared" si="196"/>
        <v>0</v>
      </c>
      <c r="BB267" s="66"/>
      <c r="BC267" s="95">
        <f>IF(ISNUMBER(I267),I267*F267*Z267/1000*Balance!$H$13/J267,0)</f>
        <v>0</v>
      </c>
      <c r="BD267" s="95">
        <f>IF(ISTEXT(K267),IF(ISNUMBER(P267),P267*M267*Z267/1000*Balance!$H$13/Q267,0),BC267)</f>
        <v>0</v>
      </c>
      <c r="BE267" s="95">
        <f>IF(ISTEXT(R267),IF(ISNUMBER(W267),W267*T267*Z267/1000*Balance!$H$13/X267,0),BC267)</f>
        <v>0</v>
      </c>
      <c r="BF267" s="66"/>
      <c r="BG267" s="95">
        <f>BC267*BG260</f>
        <v>0</v>
      </c>
      <c r="BH267" s="95">
        <f>BD267*BH260</f>
        <v>0</v>
      </c>
      <c r="BI267" s="95">
        <f>BE267*BI260</f>
        <v>0</v>
      </c>
      <c r="BJ267" s="95">
        <f t="shared" si="197"/>
        <v>0</v>
      </c>
      <c r="BK267" s="66"/>
      <c r="BL267" s="66"/>
      <c r="BM267" s="66"/>
    </row>
    <row r="268" spans="1:65" outlineLevel="1" x14ac:dyDescent="0.25">
      <c r="A268" s="61"/>
      <c r="B268" s="272"/>
      <c r="C268" s="91"/>
      <c r="D268" s="418"/>
      <c r="E268" s="407"/>
      <c r="F268" s="94"/>
      <c r="G268" s="136" t="str">
        <f>IF(ISNUMBER(VLOOKUP(LEFT(D268,3),'Material editor'!$D$11:$H$110,'Material editor'!$E$8,0)),VLOOKUP(LEFT(D268,3),'Material editor'!$D$11:$H$110,'Material editor'!$E$8,0),"")</f>
        <v/>
      </c>
      <c r="H268" s="137" t="str">
        <f>IF(ISNUMBER(VLOOKUP(LEFT(D268,3),'Material editor'!$D$11:$H$110,'Material editor'!$F$8,0)),VLOOKUP(LEFT(D268,3),'Material editor'!$D$11:$H$110,'Material editor'!$F$8,0),"")</f>
        <v/>
      </c>
      <c r="I268" s="137" t="str">
        <f>IF(ISNUMBER(VLOOKUP(LEFT(D268,3),'Material editor'!$D$11:$H$110,'Material editor'!$G$8,0)),VLOOKUP(LEFT(D268,3),'Material editor'!$D$11:$H$110,'Material editor'!$G$8,0),"")</f>
        <v/>
      </c>
      <c r="J268" s="137" t="str">
        <f>IF(ISNUMBER(VLOOKUP(LEFT(D268,3),'Material editor'!$D$11:$H$110,'Material editor'!$H$8,0)),VLOOKUP(LEFT(D268,3),'Material editor'!$D$11:$H$110,'Material editor'!$H$8,0),"")</f>
        <v/>
      </c>
      <c r="K268" s="418"/>
      <c r="L268" s="407"/>
      <c r="M268" s="94"/>
      <c r="N268" s="136" t="str">
        <f>IF(ISNUMBER(VLOOKUP(LEFT(K268,3),'Material editor'!$D$11:$H$110,'Material editor'!$E$8,0)),VLOOKUP(LEFT(K268,3),'Material editor'!$D$11:$H$110,'Material editor'!$E$8,0),"")</f>
        <v/>
      </c>
      <c r="O268" s="137" t="str">
        <f>IF(ISNUMBER(VLOOKUP(LEFT(K268,3),'Material editor'!$D$11:$H$110,'Material editor'!$F$8,0)),VLOOKUP(LEFT(K268,3),'Material editor'!$D$11:$H$110,'Material editor'!$F$8,0),"")</f>
        <v/>
      </c>
      <c r="P268" s="137" t="str">
        <f>IF(ISNUMBER(VLOOKUP(LEFT(K268,3),'Material editor'!$D$11:$H$110,'Material editor'!$G$8,0)),VLOOKUP(LEFT(K268,3),'Material editor'!$D$11:$H$110,'Material editor'!$G$8,0),"")</f>
        <v/>
      </c>
      <c r="Q268" s="137" t="str">
        <f>IF(ISNUMBER(VLOOKUP(LEFT(K268,3),'Material editor'!$D$11:$H$110,'Material editor'!$H$8,0)),VLOOKUP(LEFT(K268,3),'Material editor'!$D$11:$H$110,'Material editor'!$H$8,0),"")</f>
        <v/>
      </c>
      <c r="R268" s="418"/>
      <c r="S268" s="407"/>
      <c r="T268" s="94"/>
      <c r="U268" s="136" t="str">
        <f>IF(ISNUMBER(VLOOKUP(LEFT(R268,3),'Material editor'!$D$11:$H$110,'Material editor'!$E$8,0)),VLOOKUP(LEFT(R268,3),'Material editor'!$D$11:$H$110,'Material editor'!$E$8,0),"")</f>
        <v/>
      </c>
      <c r="V268" s="137" t="str">
        <f>IF(ISNUMBER(VLOOKUP(LEFT(R268,3),'Material editor'!$D$11:$H$110,'Material editor'!$F$8,0)),VLOOKUP(LEFT(R268,3),'Material editor'!$D$11:$H$110,'Material editor'!$F$8,0),"")</f>
        <v/>
      </c>
      <c r="W268" s="137" t="str">
        <f>IF(ISNUMBER(VLOOKUP(LEFT(R268,3),'Material editor'!$D$11:$H$110,'Material editor'!$G$8,0)),VLOOKUP(LEFT(R268,3),'Material editor'!$D$11:$H$110,'Material editor'!$G$8,0),"")</f>
        <v/>
      </c>
      <c r="X268" s="137" t="str">
        <f>IF(ISNUMBER(VLOOKUP(LEFT(R268,3),'Material editor'!$D$11:$H$110,'Material editor'!$H$8,0)),VLOOKUP(LEFT(R268,3),'Material editor'!$D$11:$H$110,'Material editor'!$H$8,0),"")</f>
        <v/>
      </c>
      <c r="Y268" s="74"/>
      <c r="Z268" s="94"/>
      <c r="AA268" s="8"/>
      <c r="AB268" s="61"/>
      <c r="AC268" s="65"/>
      <c r="AD268" s="65"/>
      <c r="AE268" s="95">
        <f t="shared" si="188"/>
        <v>0</v>
      </c>
      <c r="AF268" s="95">
        <f t="shared" si="189"/>
        <v>0</v>
      </c>
      <c r="AG268" s="95">
        <f t="shared" si="190"/>
        <v>0</v>
      </c>
      <c r="AH268" s="65"/>
      <c r="AI268" s="95">
        <f t="shared" si="191"/>
        <v>0</v>
      </c>
      <c r="AJ268" s="95">
        <f t="shared" si="192"/>
        <v>0</v>
      </c>
      <c r="AK268" s="95">
        <f t="shared" si="193"/>
        <v>0</v>
      </c>
      <c r="AL268" s="65"/>
      <c r="AM268" s="96">
        <f t="shared" ref="AM268:AO268" si="202">AM267</f>
        <v>1</v>
      </c>
      <c r="AN268" s="96">
        <f t="shared" si="202"/>
        <v>0</v>
      </c>
      <c r="AO268" s="96">
        <f t="shared" si="202"/>
        <v>0</v>
      </c>
      <c r="AP268" s="65">
        <f t="shared" si="194"/>
        <v>0</v>
      </c>
      <c r="AQ268" s="65"/>
      <c r="AR268" s="65"/>
      <c r="AS268" s="66"/>
      <c r="AT268" s="95">
        <f>IF(ISNUMBER(H268),H268*F268*Z268/1000*Balance!$H$13/J268,0)</f>
        <v>0</v>
      </c>
      <c r="AU268" s="95">
        <f>IF(ISTEXT(K268),IF(ISNUMBER(O268),O268*M268*Z268/1000*Balance!$H$13/Q268,0),AT268)</f>
        <v>0</v>
      </c>
      <c r="AV268" s="95">
        <f>IF(ISTEXT(R268),IF(ISNUMBER(V268),V268*T268*Z268/1000*Balance!$H$13/X268,0),AT268)</f>
        <v>0</v>
      </c>
      <c r="AW268" s="66"/>
      <c r="AX268" s="95">
        <f>AT268*AX260</f>
        <v>0</v>
      </c>
      <c r="AY268" s="95">
        <f>AU268*AY260</f>
        <v>0</v>
      </c>
      <c r="AZ268" s="95">
        <f>AV268*AZ260</f>
        <v>0</v>
      </c>
      <c r="BA268" s="95">
        <f t="shared" si="196"/>
        <v>0</v>
      </c>
      <c r="BB268" s="66"/>
      <c r="BC268" s="95">
        <f>IF(ISNUMBER(I268),I268*F268*Z268/1000*Balance!$H$13/J268,0)</f>
        <v>0</v>
      </c>
      <c r="BD268" s="95">
        <f>IF(ISTEXT(K268),IF(ISNUMBER(P268),P268*M268*Z268/1000*Balance!$H$13/Q268,0),BC268)</f>
        <v>0</v>
      </c>
      <c r="BE268" s="95">
        <f>IF(ISTEXT(R268),IF(ISNUMBER(W268),W268*T268*Z268/1000*Balance!$H$13/X268,0),BC268)</f>
        <v>0</v>
      </c>
      <c r="BF268" s="66"/>
      <c r="BG268" s="95">
        <f>BC268*BG260</f>
        <v>0</v>
      </c>
      <c r="BH268" s="95">
        <f>BD268*BH260</f>
        <v>0</v>
      </c>
      <c r="BI268" s="95">
        <f>BE268*BI260</f>
        <v>0</v>
      </c>
      <c r="BJ268" s="95">
        <f t="shared" si="197"/>
        <v>0</v>
      </c>
      <c r="BK268" s="66"/>
      <c r="BL268" s="66"/>
      <c r="BM268" s="66"/>
    </row>
    <row r="269" spans="1:65" outlineLevel="1" x14ac:dyDescent="0.25">
      <c r="A269" s="61"/>
      <c r="B269" s="272"/>
      <c r="C269" s="91"/>
      <c r="D269" s="418"/>
      <c r="E269" s="407"/>
      <c r="F269" s="94"/>
      <c r="G269" s="136" t="str">
        <f>IF(ISNUMBER(VLOOKUP(LEFT(D269,3),'Material editor'!$D$11:$H$110,'Material editor'!$E$8,0)),VLOOKUP(LEFT(D269,3),'Material editor'!$D$11:$H$110,'Material editor'!$E$8,0),"")</f>
        <v/>
      </c>
      <c r="H269" s="137" t="str">
        <f>IF(ISNUMBER(VLOOKUP(LEFT(D269,3),'Material editor'!$D$11:$H$110,'Material editor'!$F$8,0)),VLOOKUP(LEFT(D269,3),'Material editor'!$D$11:$H$110,'Material editor'!$F$8,0),"")</f>
        <v/>
      </c>
      <c r="I269" s="137" t="str">
        <f>IF(ISNUMBER(VLOOKUP(LEFT(D269,3),'Material editor'!$D$11:$H$110,'Material editor'!$G$8,0)),VLOOKUP(LEFT(D269,3),'Material editor'!$D$11:$H$110,'Material editor'!$G$8,0),"")</f>
        <v/>
      </c>
      <c r="J269" s="137" t="str">
        <f>IF(ISNUMBER(VLOOKUP(LEFT(D269,3),'Material editor'!$D$11:$H$110,'Material editor'!$H$8,0)),VLOOKUP(LEFT(D269,3),'Material editor'!$D$11:$H$110,'Material editor'!$H$8,0),"")</f>
        <v/>
      </c>
      <c r="K269" s="418"/>
      <c r="L269" s="407"/>
      <c r="M269" s="94"/>
      <c r="N269" s="136" t="str">
        <f>IF(ISNUMBER(VLOOKUP(LEFT(K269,3),'Material editor'!$D$11:$H$110,'Material editor'!$E$8,0)),VLOOKUP(LEFT(K269,3),'Material editor'!$D$11:$H$110,'Material editor'!$E$8,0),"")</f>
        <v/>
      </c>
      <c r="O269" s="137" t="str">
        <f>IF(ISNUMBER(VLOOKUP(LEFT(K269,3),'Material editor'!$D$11:$H$110,'Material editor'!$F$8,0)),VLOOKUP(LEFT(K269,3),'Material editor'!$D$11:$H$110,'Material editor'!$F$8,0),"")</f>
        <v/>
      </c>
      <c r="P269" s="137" t="str">
        <f>IF(ISNUMBER(VLOOKUP(LEFT(K269,3),'Material editor'!$D$11:$H$110,'Material editor'!$G$8,0)),VLOOKUP(LEFT(K269,3),'Material editor'!$D$11:$H$110,'Material editor'!$G$8,0),"")</f>
        <v/>
      </c>
      <c r="Q269" s="137" t="str">
        <f>IF(ISNUMBER(VLOOKUP(LEFT(K269,3),'Material editor'!$D$11:$H$110,'Material editor'!$H$8,0)),VLOOKUP(LEFT(K269,3),'Material editor'!$D$11:$H$110,'Material editor'!$H$8,0),"")</f>
        <v/>
      </c>
      <c r="R269" s="418"/>
      <c r="S269" s="407"/>
      <c r="T269" s="94"/>
      <c r="U269" s="136" t="str">
        <f>IF(ISNUMBER(VLOOKUP(LEFT(R269,3),'Material editor'!$D$11:$H$110,'Material editor'!$E$8,0)),VLOOKUP(LEFT(R269,3),'Material editor'!$D$11:$H$110,'Material editor'!$E$8,0),"")</f>
        <v/>
      </c>
      <c r="V269" s="137" t="str">
        <f>IF(ISNUMBER(VLOOKUP(LEFT(R269,3),'Material editor'!$D$11:$H$110,'Material editor'!$F$8,0)),VLOOKUP(LEFT(R269,3),'Material editor'!$D$11:$H$110,'Material editor'!$F$8,0),"")</f>
        <v/>
      </c>
      <c r="W269" s="137" t="str">
        <f>IF(ISNUMBER(VLOOKUP(LEFT(R269,3),'Material editor'!$D$11:$H$110,'Material editor'!$G$8,0)),VLOOKUP(LEFT(R269,3),'Material editor'!$D$11:$H$110,'Material editor'!$G$8,0),"")</f>
        <v/>
      </c>
      <c r="X269" s="137" t="str">
        <f>IF(ISNUMBER(VLOOKUP(LEFT(R269,3),'Material editor'!$D$11:$H$110,'Material editor'!$H$8,0)),VLOOKUP(LEFT(R269,3),'Material editor'!$D$11:$H$110,'Material editor'!$H$8,0),"")</f>
        <v/>
      </c>
      <c r="Y269" s="74"/>
      <c r="Z269" s="94"/>
      <c r="AA269" s="8"/>
      <c r="AB269" s="61"/>
      <c r="AC269" s="65"/>
      <c r="AD269" s="65"/>
      <c r="AE269" s="95">
        <f t="shared" si="188"/>
        <v>0</v>
      </c>
      <c r="AF269" s="95">
        <f t="shared" si="189"/>
        <v>0</v>
      </c>
      <c r="AG269" s="95">
        <f t="shared" si="190"/>
        <v>0</v>
      </c>
      <c r="AH269" s="65"/>
      <c r="AI269" s="95">
        <f>IF(ISNUMBER(G269),G269,0)</f>
        <v>0</v>
      </c>
      <c r="AJ269" s="95">
        <f t="shared" si="192"/>
        <v>0</v>
      </c>
      <c r="AK269" s="95">
        <f t="shared" si="193"/>
        <v>0</v>
      </c>
      <c r="AL269" s="65"/>
      <c r="AM269" s="96">
        <f t="shared" ref="AM269:AO269" si="203">AM268</f>
        <v>1</v>
      </c>
      <c r="AN269" s="96">
        <f t="shared" si="203"/>
        <v>0</v>
      </c>
      <c r="AO269" s="96">
        <f t="shared" si="203"/>
        <v>0</v>
      </c>
      <c r="AP269" s="65">
        <f t="shared" si="194"/>
        <v>0</v>
      </c>
      <c r="AQ269" s="65"/>
      <c r="AR269" s="65"/>
      <c r="AS269" s="66"/>
      <c r="AT269" s="95">
        <f>IF(ISNUMBER(H269),H269*F269*Z269/1000*Balance!$H$13/J269,0)</f>
        <v>0</v>
      </c>
      <c r="AU269" s="95">
        <f>IF(ISTEXT(K269),IF(ISNUMBER(O269),O269*M269*Z269/1000*Balance!$H$13/Q269,0),AT269)</f>
        <v>0</v>
      </c>
      <c r="AV269" s="95">
        <f>IF(ISTEXT(R269),IF(ISNUMBER(V269),V269*T269*Z269/1000*Balance!$H$13/X269,0),AT269)</f>
        <v>0</v>
      </c>
      <c r="AW269" s="66"/>
      <c r="AX269" s="95">
        <f>AT269*AX260</f>
        <v>0</v>
      </c>
      <c r="AY269" s="95">
        <f>AU269*AY260</f>
        <v>0</v>
      </c>
      <c r="AZ269" s="95">
        <f>AV269*AZ260</f>
        <v>0</v>
      </c>
      <c r="BA269" s="95">
        <f t="shared" si="196"/>
        <v>0</v>
      </c>
      <c r="BB269" s="66"/>
      <c r="BC269" s="95">
        <f>IF(ISNUMBER(I269),I269*F269*Z269/1000*Balance!$H$13/J269,0)</f>
        <v>0</v>
      </c>
      <c r="BD269" s="95">
        <f>IF(ISTEXT(K269),IF(ISNUMBER(P269),P269*M269*Z269/1000*Balance!$H$13/Q269,0),BC269)</f>
        <v>0</v>
      </c>
      <c r="BE269" s="95">
        <f>IF(ISTEXT(R269),IF(ISNUMBER(W269),W269*T269*Z269/1000*Balance!$H$13/X269,0),BC269)</f>
        <v>0</v>
      </c>
      <c r="BF269" s="66"/>
      <c r="BG269" s="95">
        <f>BC269*BG260</f>
        <v>0</v>
      </c>
      <c r="BH269" s="95">
        <f>BD269*BH260</f>
        <v>0</v>
      </c>
      <c r="BI269" s="95">
        <f>BE269*BI260</f>
        <v>0</v>
      </c>
      <c r="BJ269" s="95">
        <f t="shared" si="197"/>
        <v>0</v>
      </c>
      <c r="BK269" s="66"/>
      <c r="BL269" s="66"/>
      <c r="BM269" s="66"/>
    </row>
    <row r="270" spans="1:65" outlineLevel="1" x14ac:dyDescent="0.25">
      <c r="A270" s="61"/>
      <c r="B270" s="272"/>
      <c r="C270" s="77"/>
      <c r="D270" s="125">
        <f>MAX(0,1-K270-R270)</f>
        <v>1</v>
      </c>
      <c r="E270" s="126" t="s">
        <v>141</v>
      </c>
      <c r="F270" s="126"/>
      <c r="H270" s="97"/>
      <c r="I270" s="97"/>
      <c r="J270" s="97"/>
      <c r="K270" s="100"/>
      <c r="L270" s="126" t="s">
        <v>138</v>
      </c>
      <c r="M270" s="126"/>
      <c r="R270" s="100"/>
      <c r="S270" s="126" t="s">
        <v>139</v>
      </c>
      <c r="T270" s="126"/>
      <c r="V270" s="67"/>
      <c r="Y270" s="74"/>
      <c r="Z270" s="5" t="s">
        <v>140</v>
      </c>
      <c r="AA270" s="8"/>
      <c r="AB270" s="61"/>
      <c r="AC270" s="98"/>
      <c r="AD270" s="98" t="s">
        <v>124</v>
      </c>
      <c r="AE270" s="99">
        <f>IF(ISNUMBER($G262),1/($D257+SUM(AE262:AE269)+$D258),0)</f>
        <v>0.14822831866735683</v>
      </c>
      <c r="AF270" s="99">
        <f>IF(ISNUMBER($G262),1/($D257+SUM(AF262:AF269)+$D258),0)</f>
        <v>0.14822831866735683</v>
      </c>
      <c r="AG270" s="99">
        <f>IF(ISNUMBER($G262),1/($D257+SUM(AG262:AG269)+$D258),0)</f>
        <v>0.14822831866735683</v>
      </c>
      <c r="AH270" s="65"/>
      <c r="AI270" s="65"/>
      <c r="AJ270" s="65"/>
      <c r="AK270" s="65"/>
      <c r="AL270" s="65"/>
      <c r="AM270" s="65"/>
      <c r="AN270" s="65"/>
      <c r="AO270" s="65"/>
      <c r="AP270" s="65"/>
      <c r="AQ270" s="65"/>
      <c r="AR270" s="65"/>
      <c r="AS270" s="66"/>
      <c r="AT270" s="66"/>
      <c r="AU270" s="66"/>
      <c r="AV270" s="66"/>
      <c r="AW270" s="66"/>
      <c r="AX270" s="66"/>
      <c r="AY270" s="66"/>
      <c r="AZ270" s="66"/>
      <c r="BA270" s="66"/>
      <c r="BB270" s="66"/>
      <c r="BC270" s="66"/>
      <c r="BD270" s="66"/>
      <c r="BE270" s="66"/>
      <c r="BF270" s="66"/>
      <c r="BG270" s="66"/>
      <c r="BH270" s="66"/>
      <c r="BI270" s="66"/>
      <c r="BJ270" s="66"/>
      <c r="BK270" s="66"/>
      <c r="BL270" s="66"/>
      <c r="BM270" s="66"/>
    </row>
    <row r="271" spans="1:65" outlineLevel="1" x14ac:dyDescent="0.25">
      <c r="A271" s="61"/>
      <c r="B271" s="272"/>
      <c r="C271" s="77"/>
      <c r="D271" s="41"/>
      <c r="E271" s="116" t="s">
        <v>150</v>
      </c>
      <c r="F271" s="116"/>
      <c r="H271" s="68"/>
      <c r="I271" s="68"/>
      <c r="J271" s="68"/>
      <c r="K271" s="157" t="str">
        <f>IF(AE277&lt;=0.1,"","Der Fehler der U-Wert-Berechnung liegt möglicherweise über 10 %. Wärmebrückenberechnung?")</f>
        <v/>
      </c>
      <c r="L271" s="68"/>
      <c r="M271" s="68"/>
      <c r="N271" s="68"/>
      <c r="R271" s="5"/>
      <c r="S271" s="5"/>
      <c r="T271" s="5"/>
      <c r="U271" s="68"/>
      <c r="V271" s="68"/>
      <c r="X271" s="68"/>
      <c r="Y271" s="5"/>
      <c r="Z271" s="189">
        <f>IF(ISNUMBER(Z262),SUM(Z262:Z270)/10,"")</f>
        <v>49.2</v>
      </c>
      <c r="AA271" s="10" t="s">
        <v>8</v>
      </c>
      <c r="AB271" s="61"/>
      <c r="AC271" s="98"/>
      <c r="AD271" s="98" t="s">
        <v>125</v>
      </c>
      <c r="AE271" s="101">
        <f>1-SUM(AF271:AG271)</f>
        <v>1</v>
      </c>
      <c r="AF271" s="102">
        <f>K270</f>
        <v>0</v>
      </c>
      <c r="AG271" s="102">
        <f>R270</f>
        <v>0</v>
      </c>
      <c r="AH271" s="98"/>
      <c r="AI271" s="65"/>
      <c r="AJ271" s="65"/>
      <c r="AK271" s="65"/>
      <c r="AL271" s="65"/>
      <c r="AM271" s="65"/>
      <c r="AN271" s="65"/>
      <c r="AO271" s="65"/>
      <c r="AP271" s="65"/>
      <c r="AQ271" s="65"/>
      <c r="AR271" s="65" t="s">
        <v>393</v>
      </c>
      <c r="AS271" s="148"/>
      <c r="AT271" s="175" t="s">
        <v>393</v>
      </c>
      <c r="AU271" s="65" t="s">
        <v>366</v>
      </c>
      <c r="AV271" s="65" t="s">
        <v>355</v>
      </c>
      <c r="AW271" s="66"/>
      <c r="AX271" s="65" t="s">
        <v>394</v>
      </c>
      <c r="AY271" s="65" t="s">
        <v>356</v>
      </c>
      <c r="AZ271" s="66"/>
      <c r="BA271" s="66"/>
      <c r="BB271" s="66"/>
      <c r="BC271" s="66"/>
      <c r="BD271" s="66"/>
      <c r="BE271" s="66"/>
      <c r="BF271" s="66"/>
      <c r="BG271" s="66"/>
      <c r="BH271" s="66"/>
      <c r="BI271" s="66"/>
      <c r="BJ271" s="66"/>
      <c r="BK271" s="66"/>
      <c r="BL271" s="66"/>
      <c r="BM271" s="66"/>
    </row>
    <row r="272" spans="1:65" outlineLevel="1" x14ac:dyDescent="0.25">
      <c r="A272" s="61"/>
      <c r="B272" s="272"/>
      <c r="C272" s="77"/>
      <c r="D272" s="68"/>
      <c r="E272" s="68"/>
      <c r="F272" s="68"/>
      <c r="G272" s="68"/>
      <c r="H272" s="68"/>
      <c r="I272" s="68"/>
      <c r="J272" s="68"/>
      <c r="K272" s="68"/>
      <c r="L272" s="68"/>
      <c r="M272" s="68"/>
      <c r="N272" s="68"/>
      <c r="O272" s="68"/>
      <c r="P272" s="68"/>
      <c r="Q272" s="68"/>
      <c r="R272" s="68"/>
      <c r="T272" s="68"/>
      <c r="U272" s="68"/>
      <c r="V272" s="68"/>
      <c r="W272" s="68"/>
      <c r="X272" s="68"/>
      <c r="Y272" s="5"/>
      <c r="Z272" s="67"/>
      <c r="AA272" s="8"/>
      <c r="AB272" s="61"/>
      <c r="AC272" s="101"/>
      <c r="AD272" s="101"/>
      <c r="AE272" s="99"/>
      <c r="AF272" s="99"/>
      <c r="AG272" s="99"/>
      <c r="AH272" s="65"/>
      <c r="AI272" s="65"/>
      <c r="AJ272" s="65"/>
      <c r="AK272" s="65"/>
      <c r="AL272" s="65"/>
      <c r="AM272" s="65"/>
      <c r="AN272" s="65"/>
      <c r="AO272" s="65"/>
      <c r="AP272" s="65"/>
      <c r="AQ272" s="65"/>
      <c r="AR272" s="65"/>
      <c r="AS272" s="65"/>
      <c r="AT272" s="101" t="s">
        <v>367</v>
      </c>
      <c r="AU272" s="176">
        <f>Z273*F257*Balance!$H$6</f>
        <v>11.71003717472119</v>
      </c>
      <c r="AV272" s="176">
        <f>AU272*Balance!$H$13</f>
        <v>234.20074349442382</v>
      </c>
      <c r="AW272" s="66"/>
      <c r="AX272" s="66"/>
      <c r="AY272" s="66"/>
      <c r="AZ272" s="66"/>
      <c r="BA272" s="101" t="s">
        <v>351</v>
      </c>
      <c r="BB272" s="66"/>
      <c r="BC272" s="66"/>
      <c r="BD272" s="66"/>
      <c r="BE272" s="66"/>
      <c r="BF272" s="66"/>
      <c r="BG272" s="66"/>
      <c r="BH272" s="66"/>
      <c r="BI272" s="66"/>
      <c r="BJ272" s="66"/>
      <c r="BK272" s="66"/>
      <c r="BL272" s="66"/>
      <c r="BM272" s="66"/>
    </row>
    <row r="273" spans="1:65" ht="18" outlineLevel="1" x14ac:dyDescent="0.35">
      <c r="A273" s="61"/>
      <c r="B273" s="272"/>
      <c r="C273" s="77"/>
      <c r="H273" s="68"/>
      <c r="I273" s="68"/>
      <c r="J273" s="67"/>
      <c r="K273" s="192" t="s">
        <v>397</v>
      </c>
      <c r="L273" s="67"/>
      <c r="M273" s="67"/>
      <c r="N273" s="67"/>
      <c r="O273" s="67"/>
      <c r="P273" s="67"/>
      <c r="Q273" s="67"/>
      <c r="R273" s="14" t="s">
        <v>398</v>
      </c>
      <c r="U273" s="68"/>
      <c r="V273" s="68"/>
      <c r="W273" s="68"/>
      <c r="X273" s="68"/>
      <c r="Y273" s="127" t="s">
        <v>154</v>
      </c>
      <c r="Z273" s="193">
        <f>IF(ISNUMBER(G262),IF(AE277&lt;0.1,1/AE273,1/(AP273*1.1))+D271,"")</f>
        <v>0.14822831866735683</v>
      </c>
      <c r="AA273" s="8" t="s">
        <v>10</v>
      </c>
      <c r="AB273" s="61"/>
      <c r="AC273" s="101"/>
      <c r="AD273" s="101" t="s">
        <v>126</v>
      </c>
      <c r="AE273" s="95">
        <f>IF(ISNUMBER(G262),AVERAGE(AG273,AP273),0)</f>
        <v>6.7463492063492065</v>
      </c>
      <c r="AF273" s="101" t="s">
        <v>127</v>
      </c>
      <c r="AG273" s="95">
        <f>IF(ISNUMBER(G262),1/SUMPRODUCT(AE271:AG271,AE270:AG270),0)</f>
        <v>6.7463492063492065</v>
      </c>
      <c r="AH273" s="65"/>
      <c r="AI273" s="65"/>
      <c r="AJ273" s="65"/>
      <c r="AK273" s="65"/>
      <c r="AL273" s="103"/>
      <c r="AM273" s="65"/>
      <c r="AN273" s="65"/>
      <c r="AO273" s="101" t="s">
        <v>128</v>
      </c>
      <c r="AP273" s="95">
        <f>$D257+SUM(AP262:AP269)+$D258</f>
        <v>6.7463492063492057</v>
      </c>
      <c r="AQ273" s="65"/>
      <c r="AR273" s="65"/>
      <c r="AS273" s="152" t="str">
        <f>Data!$D$4</f>
        <v>Heat pump</v>
      </c>
      <c r="AT273" s="177" t="s">
        <v>374</v>
      </c>
      <c r="AU273" s="179">
        <f>AU272/(Balance!$H$17*Balance!$H$18*Balance!$H$19)*Balance!$H$22</f>
        <v>7.8066914498141262</v>
      </c>
      <c r="AV273" s="176">
        <f>AU273*Balance!$H$13</f>
        <v>156.13382899628252</v>
      </c>
      <c r="AW273" s="66"/>
      <c r="AX273" s="186">
        <f ca="1">AU272/(Balance!$H$17*Balance!$H$18*Balance!$H$19)*Balance!$G$22/1000</f>
        <v>1.4745972738537794</v>
      </c>
      <c r="AY273" s="176">
        <f ca="1">AX273*Balance!$H$13</f>
        <v>29.491945477075589</v>
      </c>
      <c r="AZ273" s="101"/>
      <c r="BA273" s="95">
        <f>SUM(BA262:BA269)</f>
        <v>71.841674811474761</v>
      </c>
      <c r="BB273" s="66" t="s">
        <v>355</v>
      </c>
      <c r="BC273" s="66"/>
      <c r="BD273" s="66"/>
      <c r="BE273" s="66"/>
      <c r="BF273" s="66"/>
      <c r="BG273" s="66"/>
      <c r="BH273" s="66"/>
      <c r="BI273" s="101" t="s">
        <v>149</v>
      </c>
      <c r="BJ273" s="95">
        <f>SUM(BJ262:BJ269)</f>
        <v>21.117951357519257</v>
      </c>
      <c r="BK273" s="66" t="s">
        <v>357</v>
      </c>
      <c r="BL273" s="66"/>
      <c r="BM273" s="66"/>
    </row>
    <row r="274" spans="1:65" ht="15.75" outlineLevel="1" x14ac:dyDescent="0.25">
      <c r="A274" s="61"/>
      <c r="B274" s="272"/>
      <c r="C274" s="77"/>
      <c r="D274" s="155"/>
      <c r="E274" s="188" t="s">
        <v>395</v>
      </c>
      <c r="F274" s="116"/>
      <c r="H274" s="68"/>
      <c r="I274" s="68"/>
      <c r="J274" s="67"/>
      <c r="K274" s="190">
        <f>BA273</f>
        <v>71.841674811474761</v>
      </c>
      <c r="L274" s="128" t="s">
        <v>400</v>
      </c>
      <c r="M274" s="67"/>
      <c r="N274" s="67"/>
      <c r="O274" s="67"/>
      <c r="P274" s="67"/>
      <c r="Q274" s="67"/>
      <c r="R274" s="190">
        <f>BJ273</f>
        <v>21.117951357519257</v>
      </c>
      <c r="S274" s="128" t="s">
        <v>399</v>
      </c>
      <c r="U274" s="68"/>
      <c r="V274" s="68"/>
      <c r="W274" s="68"/>
      <c r="X274" s="68"/>
      <c r="Y274" s="67"/>
      <c r="Z274" s="67"/>
      <c r="AA274" s="8"/>
      <c r="AB274" s="61"/>
      <c r="AC274" s="101"/>
      <c r="AD274" s="101"/>
      <c r="AE274" s="154"/>
      <c r="AF274" s="101"/>
      <c r="AG274" s="154"/>
      <c r="AH274" s="65"/>
      <c r="AI274" s="65"/>
      <c r="AJ274" s="65"/>
      <c r="AK274" s="65"/>
      <c r="AL274" s="103"/>
      <c r="AM274" s="65"/>
      <c r="AN274" s="65"/>
      <c r="AO274" s="101"/>
      <c r="AP274" s="154"/>
      <c r="AQ274" s="65"/>
      <c r="AR274" s="65"/>
      <c r="AS274" s="152" t="str">
        <f>Data!$D$5</f>
        <v>Direct electric</v>
      </c>
      <c r="AT274" s="177" t="s">
        <v>374</v>
      </c>
      <c r="AU274" s="179">
        <f>AU272/Balance!$H$18*Balance!$H$22</f>
        <v>21.078066914498145</v>
      </c>
      <c r="AV274" s="176">
        <f>AU274*Balance!$H$13</f>
        <v>421.56133828996292</v>
      </c>
      <c r="AW274" s="66"/>
      <c r="AX274" s="186">
        <f ca="1">AU272/Balance!$H$18*Balance!$G$22/1000</f>
        <v>3.9814126394052045</v>
      </c>
      <c r="AY274" s="176">
        <f ca="1">AX274*Balance!$H$13</f>
        <v>79.628252788104092</v>
      </c>
      <c r="AZ274" s="101"/>
      <c r="BA274" s="154"/>
      <c r="BB274" s="66"/>
      <c r="BC274" s="66"/>
      <c r="BD274" s="66"/>
      <c r="BE274" s="66"/>
      <c r="BF274" s="66"/>
      <c r="BG274" s="66"/>
      <c r="BH274" s="66"/>
      <c r="BI274" s="101"/>
      <c r="BJ274" s="154"/>
      <c r="BK274" s="66"/>
      <c r="BL274" s="66"/>
      <c r="BM274" s="66"/>
    </row>
    <row r="275" spans="1:65" ht="15.75" outlineLevel="1" x14ac:dyDescent="0.25">
      <c r="A275" s="61"/>
      <c r="B275" s="272"/>
      <c r="C275" s="77"/>
      <c r="D275" s="155"/>
      <c r="E275" s="188" t="s">
        <v>396</v>
      </c>
      <c r="F275" s="116"/>
      <c r="H275" s="68"/>
      <c r="I275" s="68"/>
      <c r="J275" s="67"/>
      <c r="K275" s="190">
        <f>AV277</f>
        <v>156.13382899628252</v>
      </c>
      <c r="L275" s="128" t="s">
        <v>401</v>
      </c>
      <c r="M275" s="67"/>
      <c r="N275" s="67"/>
      <c r="O275" s="67"/>
      <c r="P275" s="67"/>
      <c r="Q275" s="67"/>
      <c r="R275" s="190">
        <f ca="1">AY277</f>
        <v>29.491945477075589</v>
      </c>
      <c r="S275" s="128" t="s">
        <v>358</v>
      </c>
      <c r="U275" s="68"/>
      <c r="V275" s="68"/>
      <c r="W275" s="68"/>
      <c r="X275" s="68"/>
      <c r="Y275" s="67"/>
      <c r="Z275" s="67"/>
      <c r="AA275" s="8"/>
      <c r="AB275" s="61"/>
      <c r="AC275" s="101"/>
      <c r="AD275" s="101"/>
      <c r="AE275" s="154"/>
      <c r="AF275" s="101"/>
      <c r="AG275" s="154"/>
      <c r="AH275" s="65"/>
      <c r="AI275" s="65"/>
      <c r="AJ275" s="65"/>
      <c r="AK275" s="65"/>
      <c r="AL275" s="103"/>
      <c r="AM275" s="65"/>
      <c r="AN275" s="65"/>
      <c r="AO275" s="101"/>
      <c r="AP275" s="154"/>
      <c r="AQ275" s="65"/>
      <c r="AR275" s="65"/>
      <c r="AS275" s="152" t="str">
        <f>Data!$D$6</f>
        <v>Gas boiler</v>
      </c>
      <c r="AT275" s="177" t="s">
        <v>374</v>
      </c>
      <c r="AU275" s="179">
        <f>AU272/(Balance!$H$18*Balance!$H$19)*Balance!H$23</f>
        <v>22.769516728624534</v>
      </c>
      <c r="AV275" s="176">
        <f>AU275*Balance!$H$13</f>
        <v>455.3903345724907</v>
      </c>
      <c r="AW275" s="66"/>
      <c r="AX275" s="186">
        <f ca="1">AU272/(Balance!$H$18*Balance!$H$19)*Balance!$G$23/1000</f>
        <v>3.245043370508053</v>
      </c>
      <c r="AY275" s="176">
        <f ca="1">AX275*Balance!$H$13</f>
        <v>64.900867410161055</v>
      </c>
      <c r="AZ275" s="101"/>
      <c r="BA275" s="154"/>
      <c r="BB275" s="66"/>
      <c r="BC275" s="66"/>
      <c r="BD275" s="66"/>
      <c r="BE275" s="66"/>
      <c r="BF275" s="66"/>
      <c r="BG275" s="66"/>
      <c r="BH275" s="66"/>
      <c r="BI275" s="101"/>
      <c r="BJ275" s="154"/>
      <c r="BK275" s="66"/>
      <c r="BL275" s="66"/>
      <c r="BM275" s="66"/>
    </row>
    <row r="276" spans="1:65" ht="15.75" outlineLevel="1" x14ac:dyDescent="0.25">
      <c r="A276" s="61"/>
      <c r="B276" s="272"/>
      <c r="C276" s="77"/>
      <c r="D276" s="155"/>
      <c r="E276" s="188" t="s">
        <v>352</v>
      </c>
      <c r="F276" s="116"/>
      <c r="H276" s="68"/>
      <c r="I276" s="68"/>
      <c r="J276" s="67"/>
      <c r="K276" s="191">
        <f>K275+K274</f>
        <v>227.97550380775726</v>
      </c>
      <c r="L276" s="128" t="s">
        <v>355</v>
      </c>
      <c r="M276" s="67"/>
      <c r="N276" s="67"/>
      <c r="O276" s="67"/>
      <c r="P276" s="67"/>
      <c r="Q276" s="67"/>
      <c r="R276" s="191">
        <f ca="1">R275+R274</f>
        <v>50.609896834594849</v>
      </c>
      <c r="S276" s="128" t="s">
        <v>358</v>
      </c>
      <c r="T276" s="153"/>
      <c r="U276" s="68"/>
      <c r="V276" s="68"/>
      <c r="W276" s="68"/>
      <c r="X276" s="68"/>
      <c r="Y276" s="67"/>
      <c r="Z276" s="67"/>
      <c r="AA276" s="8"/>
      <c r="AB276" s="61"/>
      <c r="AC276" s="101"/>
      <c r="AD276" s="101"/>
      <c r="AE276" s="154"/>
      <c r="AF276" s="101"/>
      <c r="AG276" s="154"/>
      <c r="AH276" s="65"/>
      <c r="AI276" s="65"/>
      <c r="AJ276" s="65"/>
      <c r="AK276" s="65"/>
      <c r="AL276" s="103"/>
      <c r="AM276" s="65"/>
      <c r="AN276" s="65"/>
      <c r="AO276" s="101"/>
      <c r="AP276" s="154"/>
      <c r="AQ276" s="65"/>
      <c r="AR276" s="65"/>
      <c r="AS276" s="152" t="str">
        <f>Data!$D$7</f>
        <v>Biomass</v>
      </c>
      <c r="AT276" s="177" t="s">
        <v>374</v>
      </c>
      <c r="AU276" s="179">
        <f>AU272/(Balance!$H$18*Balance!$H$19)*Balance!$H$24</f>
        <v>14.312267657992566</v>
      </c>
      <c r="AV276" s="176">
        <f>AU276*Balance!$H$13</f>
        <v>286.24535315985133</v>
      </c>
      <c r="AW276" s="66"/>
      <c r="AX276" s="186">
        <f ca="1">AU272/(Balance!$H$18*Balance!$H$19)*Balance!$G$24/1000</f>
        <v>0.27648698884758366</v>
      </c>
      <c r="AY276" s="176">
        <f ca="1">AX276*Balance!$H$13</f>
        <v>5.529739776951673</v>
      </c>
      <c r="AZ276" s="101"/>
      <c r="BA276" s="154"/>
      <c r="BB276" s="66"/>
      <c r="BC276" s="66"/>
      <c r="BD276" s="66"/>
      <c r="BE276" s="66"/>
      <c r="BF276" s="66"/>
      <c r="BG276" s="66"/>
      <c r="BH276" s="66"/>
      <c r="BI276" s="101"/>
      <c r="BJ276" s="154"/>
      <c r="BK276" s="66"/>
      <c r="BL276" s="66"/>
      <c r="BM276" s="66"/>
    </row>
    <row r="277" spans="1:65" outlineLevel="1" x14ac:dyDescent="0.25">
      <c r="A277" s="61"/>
      <c r="B277" s="272"/>
      <c r="C277" s="104"/>
      <c r="D277" s="105"/>
      <c r="E277" s="106"/>
      <c r="F277" s="106"/>
      <c r="G277" s="106"/>
      <c r="H277" s="107"/>
      <c r="I277" s="107"/>
      <c r="J277" s="107"/>
      <c r="K277" s="106"/>
      <c r="L277" s="106"/>
      <c r="M277" s="106"/>
      <c r="N277" s="106"/>
      <c r="O277" s="106"/>
      <c r="P277" s="106"/>
      <c r="Q277" s="106"/>
      <c r="R277" s="106"/>
      <c r="S277" s="106"/>
      <c r="T277" s="106"/>
      <c r="U277" s="106"/>
      <c r="V277" s="106"/>
      <c r="W277" s="106"/>
      <c r="X277" s="106"/>
      <c r="Y277" s="106"/>
      <c r="Z277" s="108"/>
      <c r="AA277" s="109"/>
      <c r="AB277" s="61"/>
      <c r="AC277" s="101"/>
      <c r="AD277" s="101" t="s">
        <v>129</v>
      </c>
      <c r="AE277" s="110">
        <f>IF(ISNUMBER(G262),(AG273-AP273)/(2*AE273),0)</f>
        <v>6.5826596914389783E-17</v>
      </c>
      <c r="AF277" s="111"/>
      <c r="AG277" s="65"/>
      <c r="AH277" s="101"/>
      <c r="AI277" s="65"/>
      <c r="AJ277" s="65"/>
      <c r="AK277" s="65"/>
      <c r="AL277" s="65"/>
      <c r="AM277" s="65"/>
      <c r="AN277" s="65"/>
      <c r="AO277" s="65"/>
      <c r="AP277" s="66"/>
      <c r="AQ277" s="65"/>
      <c r="AR277" s="65"/>
      <c r="AS277" s="178" t="str">
        <f>Balance!$G$16</f>
        <v>Heat pump</v>
      </c>
      <c r="AT277" s="66"/>
      <c r="AU277" s="185">
        <f>VLOOKUP(AS277,AS273:AU276,3,0)</f>
        <v>7.8066914498141262</v>
      </c>
      <c r="AV277" s="185">
        <f>VLOOKUP(AS277,AS273:AV276,4,0)</f>
        <v>156.13382899628252</v>
      </c>
      <c r="AW277" s="185"/>
      <c r="AX277" s="187">
        <f ca="1">VLOOKUP(AS277,AS273:AX276,6,0)</f>
        <v>1.4745972738537794</v>
      </c>
      <c r="AY277" s="185">
        <f ca="1">VLOOKUP(AS277,AS273:AY276,7,0)</f>
        <v>29.491945477075589</v>
      </c>
      <c r="AZ277" s="66"/>
      <c r="BA277" s="66"/>
      <c r="BB277" s="66"/>
      <c r="BC277" s="66"/>
      <c r="BD277" s="66"/>
      <c r="BE277" s="66"/>
      <c r="BF277" s="66"/>
      <c r="BG277" s="66"/>
      <c r="BH277" s="66"/>
      <c r="BI277" s="66"/>
      <c r="BJ277" s="66"/>
      <c r="BK277" s="66"/>
      <c r="BL277" s="66"/>
      <c r="BM277" s="66"/>
    </row>
    <row r="278" spans="1:65" outlineLevel="1" x14ac:dyDescent="0.25">
      <c r="B278" s="201"/>
    </row>
    <row r="279" spans="1:65" outlineLevel="1" x14ac:dyDescent="0.25">
      <c r="B279" s="201"/>
      <c r="C279" s="62"/>
      <c r="D279" s="114" t="s">
        <v>131</v>
      </c>
      <c r="E279" s="115" t="s">
        <v>132</v>
      </c>
      <c r="F279" s="115"/>
      <c r="G279" s="63"/>
      <c r="H279" s="63"/>
      <c r="I279" s="63"/>
      <c r="J279" s="63"/>
      <c r="K279" s="63"/>
      <c r="L279" s="63"/>
      <c r="M279" s="63"/>
      <c r="N279" s="63"/>
      <c r="O279" s="63"/>
      <c r="P279" s="63"/>
      <c r="Q279" s="63"/>
      <c r="R279" s="63"/>
      <c r="S279" s="63"/>
      <c r="T279" s="63"/>
      <c r="U279" s="63"/>
      <c r="V279" s="63"/>
      <c r="W279" s="63"/>
      <c r="X279" s="63"/>
      <c r="Y279" s="63"/>
      <c r="Z279" s="63"/>
      <c r="AA279" s="64"/>
      <c r="AB279" s="61"/>
      <c r="AC279" s="65" t="s">
        <v>402</v>
      </c>
      <c r="AD279" s="65"/>
      <c r="AE279" s="65"/>
      <c r="AF279" s="65"/>
      <c r="AG279" s="65"/>
      <c r="AH279" s="65"/>
      <c r="AI279" s="65"/>
      <c r="AJ279" s="65"/>
      <c r="AK279" s="65"/>
      <c r="AL279" s="65"/>
      <c r="AM279" s="65"/>
      <c r="AN279" s="65"/>
      <c r="AO279" s="65"/>
      <c r="AP279" s="65"/>
      <c r="AQ279" s="66"/>
      <c r="AR279" s="65" t="s">
        <v>405</v>
      </c>
      <c r="AS279" s="65"/>
      <c r="AT279" s="65"/>
      <c r="AU279" s="65"/>
      <c r="AV279" s="65"/>
      <c r="AW279" s="65"/>
      <c r="AX279" s="65"/>
      <c r="AY279" s="65"/>
      <c r="AZ279" s="65"/>
      <c r="BA279" s="65"/>
      <c r="BB279" s="65" t="s">
        <v>403</v>
      </c>
      <c r="BC279" s="65"/>
      <c r="BD279" s="65"/>
      <c r="BE279" s="65"/>
      <c r="BF279" s="65"/>
      <c r="BG279" s="65"/>
      <c r="BH279" s="65"/>
      <c r="BI279" s="65"/>
      <c r="BJ279" s="65"/>
      <c r="BK279" s="65"/>
      <c r="BL279" s="65"/>
      <c r="BM279" s="65"/>
    </row>
    <row r="280" spans="1:65" ht="15.75" x14ac:dyDescent="0.25">
      <c r="B280" s="201"/>
      <c r="C280" s="69"/>
      <c r="D280" s="70">
        <v>11</v>
      </c>
      <c r="E280" s="71" t="s">
        <v>411</v>
      </c>
      <c r="F280" s="92"/>
      <c r="G280" s="72"/>
      <c r="H280" s="72"/>
      <c r="I280" s="72"/>
      <c r="J280" s="72"/>
      <c r="K280" s="72"/>
      <c r="L280" s="72"/>
      <c r="M280" s="72"/>
      <c r="N280" s="72"/>
      <c r="O280" s="72"/>
      <c r="P280" s="72"/>
      <c r="Q280" s="72"/>
      <c r="R280" s="72"/>
      <c r="S280" s="72"/>
      <c r="T280" s="72"/>
      <c r="U280" s="72"/>
      <c r="V280" s="72"/>
      <c r="W280" s="72"/>
      <c r="X280" s="72"/>
      <c r="Y280" s="72"/>
      <c r="Z280" s="73"/>
      <c r="AA280" s="75"/>
      <c r="AB280" s="61"/>
      <c r="AC280" s="65"/>
      <c r="AD280" s="65"/>
      <c r="AE280" s="76" t="s">
        <v>114</v>
      </c>
      <c r="AF280" s="65"/>
      <c r="AG280" s="65"/>
      <c r="AH280" s="65"/>
      <c r="AI280" s="65"/>
      <c r="AJ280" s="65"/>
      <c r="AK280" s="65"/>
      <c r="AL280" s="65"/>
      <c r="AM280" s="65"/>
      <c r="AN280" s="65"/>
      <c r="AO280" s="65"/>
      <c r="AP280" s="66"/>
      <c r="AQ280" s="65"/>
      <c r="AR280" s="65" t="s">
        <v>404</v>
      </c>
      <c r="AS280" s="65"/>
      <c r="AT280" s="65"/>
      <c r="AU280" s="65"/>
      <c r="AV280" s="65"/>
      <c r="AW280" s="65"/>
      <c r="AX280" s="65"/>
      <c r="AY280" s="65"/>
      <c r="AZ280" s="65"/>
      <c r="BA280" s="65"/>
      <c r="BB280" s="65" t="s">
        <v>407</v>
      </c>
      <c r="BC280" s="65"/>
      <c r="BD280" s="65"/>
      <c r="BE280" s="65"/>
      <c r="BF280" s="65"/>
      <c r="BG280" s="65"/>
      <c r="BH280" s="65"/>
      <c r="BI280" s="65"/>
      <c r="BJ280" s="65"/>
      <c r="BK280" s="65"/>
      <c r="BL280" s="65"/>
      <c r="BM280" s="65"/>
    </row>
    <row r="281" spans="1:65" outlineLevel="1" x14ac:dyDescent="0.25">
      <c r="B281" s="201"/>
      <c r="C281" s="77"/>
      <c r="D281" s="116" t="s">
        <v>133</v>
      </c>
      <c r="E281" s="78"/>
      <c r="F281" s="78"/>
      <c r="AA281" s="75"/>
      <c r="AB281" s="61"/>
      <c r="AC281" s="65"/>
      <c r="AD281" s="65"/>
      <c r="AE281" s="65"/>
      <c r="AF281" s="65"/>
      <c r="AG281" s="65"/>
      <c r="AH281" s="65"/>
      <c r="AI281" s="65"/>
      <c r="AJ281" s="65"/>
      <c r="AK281" s="65"/>
      <c r="AL281" s="65"/>
      <c r="AM281" s="65"/>
      <c r="AN281" s="65"/>
      <c r="AO281" s="65"/>
      <c r="AP281" s="66"/>
      <c r="AQ281" s="65"/>
      <c r="AR281" s="65"/>
      <c r="AS281" s="65"/>
      <c r="AT281" s="65"/>
      <c r="AU281" s="65"/>
      <c r="AV281" s="65"/>
      <c r="AW281" s="65"/>
      <c r="AX281" s="65"/>
      <c r="AY281" s="65"/>
      <c r="AZ281" s="65"/>
      <c r="BA281" s="65"/>
      <c r="BB281" s="65"/>
      <c r="BC281" s="65"/>
      <c r="BD281" s="65"/>
      <c r="BE281" s="65"/>
      <c r="BF281" s="65"/>
      <c r="BG281" s="65"/>
      <c r="BH281" s="65"/>
      <c r="BI281" s="65"/>
      <c r="BJ281" s="65"/>
      <c r="BK281" s="65"/>
      <c r="BL281" s="65"/>
      <c r="BM281" s="65"/>
    </row>
    <row r="282" spans="1:65" outlineLevel="1" x14ac:dyDescent="0.25">
      <c r="B282" s="201"/>
      <c r="C282" s="77"/>
      <c r="D282" s="79">
        <v>0.13</v>
      </c>
      <c r="E282" s="2" t="s">
        <v>151</v>
      </c>
      <c r="F282" s="138">
        <v>1</v>
      </c>
      <c r="G282" s="61"/>
      <c r="H282" s="74"/>
      <c r="I282" s="74"/>
      <c r="J282" s="74"/>
      <c r="K282" s="2" t="s">
        <v>921</v>
      </c>
      <c r="L282" s="74"/>
      <c r="M282" s="74"/>
      <c r="N282" s="74"/>
      <c r="AA282" s="75"/>
      <c r="AB282" s="61"/>
      <c r="AC282" s="65"/>
      <c r="AD282" s="65"/>
      <c r="AE282" s="65" t="s">
        <v>115</v>
      </c>
      <c r="AF282" s="65"/>
      <c r="AG282" s="65"/>
      <c r="AH282" s="65"/>
      <c r="AI282" s="65" t="s">
        <v>116</v>
      </c>
      <c r="AJ282" s="65"/>
      <c r="AK282" s="65"/>
      <c r="AL282" s="65"/>
      <c r="AM282" s="65"/>
      <c r="AN282" s="65"/>
      <c r="AO282" s="65"/>
      <c r="AP282" s="66"/>
      <c r="AQ282" s="65"/>
      <c r="AR282" s="65"/>
      <c r="AS282" s="65"/>
      <c r="AT282" s="65"/>
      <c r="AU282" s="65"/>
      <c r="AV282" s="65"/>
      <c r="AW282" s="65"/>
      <c r="AX282" s="65"/>
      <c r="AY282" s="65"/>
      <c r="AZ282" s="65"/>
      <c r="BA282" s="65"/>
      <c r="BB282" s="65"/>
      <c r="BC282" s="65"/>
      <c r="BD282" s="65"/>
      <c r="BE282" s="65"/>
      <c r="BF282" s="65"/>
      <c r="BG282" s="65"/>
      <c r="BH282" s="65"/>
      <c r="BI282" s="65"/>
      <c r="BJ282" s="65"/>
      <c r="BK282" s="65"/>
      <c r="BL282" s="65"/>
      <c r="BM282" s="65"/>
    </row>
    <row r="283" spans="1:65" ht="15.75" outlineLevel="1" x14ac:dyDescent="0.25">
      <c r="B283" s="201"/>
      <c r="C283" s="77"/>
      <c r="D283" s="79">
        <v>0.04</v>
      </c>
      <c r="E283" s="2" t="s">
        <v>152</v>
      </c>
      <c r="F283" s="2"/>
      <c r="G283" s="61"/>
      <c r="H283" s="74"/>
      <c r="I283" s="74"/>
      <c r="J283" s="74"/>
      <c r="K283" s="74"/>
      <c r="L283" s="74"/>
      <c r="M283" s="74"/>
      <c r="N283" s="74"/>
      <c r="AA283" s="75"/>
      <c r="AB283" s="61"/>
      <c r="AC283" s="65"/>
      <c r="AD283" s="65"/>
      <c r="AE283" s="80" t="s">
        <v>117</v>
      </c>
      <c r="AF283" s="81"/>
      <c r="AG283" s="81"/>
      <c r="AH283" s="65"/>
      <c r="AI283" s="82" t="s">
        <v>118</v>
      </c>
      <c r="AJ283" s="81"/>
      <c r="AK283" s="81"/>
      <c r="AL283" s="65"/>
      <c r="AM283" s="83" t="s">
        <v>119</v>
      </c>
      <c r="AN283" s="84"/>
      <c r="AO283" s="85"/>
      <c r="AP283" s="65"/>
      <c r="AQ283" s="65"/>
      <c r="AR283" s="65"/>
      <c r="AS283" s="65"/>
      <c r="AT283" s="65"/>
      <c r="AU283" s="65"/>
      <c r="AV283" s="65"/>
      <c r="AW283" s="65"/>
      <c r="AX283" s="65"/>
      <c r="AY283" s="65"/>
      <c r="AZ283" s="65"/>
      <c r="BA283" s="65"/>
      <c r="BB283" s="65"/>
      <c r="BC283" s="65"/>
      <c r="BD283" s="65"/>
      <c r="BE283" s="65"/>
      <c r="BF283" s="65"/>
      <c r="BG283" s="65"/>
      <c r="BH283" s="65"/>
      <c r="BI283" s="65"/>
      <c r="BJ283" s="65"/>
      <c r="BK283" s="65"/>
      <c r="BL283" s="65"/>
      <c r="BM283" s="65"/>
    </row>
    <row r="284" spans="1:65" ht="15.75" outlineLevel="1" x14ac:dyDescent="0.25">
      <c r="B284" s="201"/>
      <c r="C284" s="77"/>
      <c r="D284" s="74"/>
      <c r="E284" s="61"/>
      <c r="F284" s="61"/>
      <c r="G284" s="61"/>
      <c r="H284" s="74"/>
      <c r="I284" s="74"/>
      <c r="J284" s="74"/>
      <c r="K284" s="74"/>
      <c r="L284" s="74"/>
      <c r="M284" s="74"/>
      <c r="N284" s="74"/>
      <c r="O284" s="1"/>
      <c r="P284" s="1"/>
      <c r="Q284" s="1"/>
      <c r="AA284" s="75"/>
      <c r="AB284" s="61"/>
      <c r="AC284" s="65"/>
      <c r="AD284" s="65"/>
      <c r="AE284" s="117"/>
      <c r="AF284" s="117"/>
      <c r="AG284" s="117"/>
      <c r="AH284" s="65"/>
      <c r="AI284" s="118"/>
      <c r="AJ284" s="117"/>
      <c r="AK284" s="117"/>
      <c r="AL284" s="65"/>
      <c r="AM284" s="119"/>
      <c r="AN284" s="119"/>
      <c r="AO284" s="119"/>
      <c r="AP284" s="65"/>
      <c r="AQ284" s="65"/>
      <c r="AR284" s="65"/>
      <c r="AS284" s="65"/>
      <c r="AT284" s="148" t="s">
        <v>351</v>
      </c>
      <c r="AU284" s="65"/>
      <c r="AV284" s="65"/>
      <c r="AW284" s="65"/>
      <c r="AX284" s="148"/>
      <c r="AY284" s="65"/>
      <c r="AZ284" s="65"/>
      <c r="BA284" s="65"/>
      <c r="BB284" s="65"/>
      <c r="BC284" s="148" t="s">
        <v>406</v>
      </c>
      <c r="BD284" s="65"/>
      <c r="BE284" s="65"/>
      <c r="BF284" s="65"/>
      <c r="BG284" s="148"/>
      <c r="BH284" s="65"/>
      <c r="BI284" s="65"/>
      <c r="BJ284" s="65"/>
      <c r="BK284" s="65"/>
      <c r="BL284" s="65"/>
      <c r="BM284" s="65"/>
    </row>
    <row r="285" spans="1:65" ht="22.5" outlineLevel="1" x14ac:dyDescent="0.25">
      <c r="B285" s="201"/>
      <c r="C285" s="77"/>
      <c r="D285" s="121" t="str">
        <f>$D$35</f>
        <v>Area section 1</v>
      </c>
      <c r="E285" s="61"/>
      <c r="F285" s="122" t="str">
        <f>$F$35</f>
        <v>Count?</v>
      </c>
      <c r="G285" s="122" t="str">
        <f>$G$35</f>
        <v>Thermal conductivity</v>
      </c>
      <c r="H285" s="122" t="str">
        <f>$H$35</f>
        <v>Manfacturing energy</v>
      </c>
      <c r="I285" s="122" t="str">
        <f>$I$35</f>
        <v>GWP</v>
      </c>
      <c r="J285" s="122" t="str">
        <f>$J$35</f>
        <v>Service life</v>
      </c>
      <c r="K285" s="121" t="str">
        <f>$K$35</f>
        <v>Area section 2 (optional)</v>
      </c>
      <c r="L285" s="121"/>
      <c r="M285" s="122" t="str">
        <f>$M$35</f>
        <v>Count?</v>
      </c>
      <c r="N285" s="122" t="str">
        <f>$N$35</f>
        <v>Thermal conductivity</v>
      </c>
      <c r="O285" s="122" t="str">
        <f>$O$35</f>
        <v>Manfacturing energy</v>
      </c>
      <c r="P285" s="122" t="str">
        <f>$P$35</f>
        <v>GWP</v>
      </c>
      <c r="Q285" s="122" t="str">
        <f>$Q$35</f>
        <v>Service life</v>
      </c>
      <c r="R285" s="121" t="str">
        <f>$R$35</f>
        <v>Area section 3 (optional)</v>
      </c>
      <c r="S285" s="74"/>
      <c r="T285" s="122" t="str">
        <f>$T$35</f>
        <v>Count?</v>
      </c>
      <c r="U285" s="122" t="str">
        <f>$U$35</f>
        <v>Thermal conductivity</v>
      </c>
      <c r="V285" s="122" t="str">
        <f>$V$35</f>
        <v>Manfacturing energy</v>
      </c>
      <c r="W285" s="122" t="str">
        <f>$W$35</f>
        <v>GWP</v>
      </c>
      <c r="X285" s="122" t="str">
        <f>$X$35</f>
        <v>Service life</v>
      </c>
      <c r="Y285" s="74"/>
      <c r="Z285" s="122" t="str">
        <f>$Z$35</f>
        <v>Thickness</v>
      </c>
      <c r="AA285" s="75"/>
      <c r="AB285" s="61"/>
      <c r="AC285" s="65"/>
      <c r="AD285" s="65"/>
      <c r="AE285" s="86"/>
      <c r="AF285" s="87"/>
      <c r="AG285" s="65"/>
      <c r="AH285" s="65"/>
      <c r="AI285" s="65"/>
      <c r="AJ285" s="65"/>
      <c r="AK285" s="65"/>
      <c r="AL285" s="65"/>
      <c r="AM285" s="65"/>
      <c r="AN285" s="65"/>
      <c r="AO285" s="65"/>
      <c r="AP285" s="65"/>
      <c r="AQ285" s="65"/>
      <c r="AR285" s="65"/>
      <c r="AS285" s="65"/>
      <c r="AT285" s="148"/>
      <c r="AU285" s="65"/>
      <c r="AV285" s="65"/>
      <c r="AW285" s="151" t="s">
        <v>353</v>
      </c>
      <c r="AX285" s="149">
        <f>D295</f>
        <v>1</v>
      </c>
      <c r="AY285" s="150">
        <f>K295</f>
        <v>0</v>
      </c>
      <c r="AZ285" s="150">
        <f>R295</f>
        <v>0</v>
      </c>
      <c r="BA285" s="156">
        <f>SUM(AX285:AZ285)</f>
        <v>1</v>
      </c>
      <c r="BB285" s="65"/>
      <c r="BC285" s="148"/>
      <c r="BD285" s="65"/>
      <c r="BE285" s="65"/>
      <c r="BF285" s="151" t="s">
        <v>353</v>
      </c>
      <c r="BG285" s="149">
        <f>AX285</f>
        <v>1</v>
      </c>
      <c r="BH285" s="149">
        <f t="shared" ref="BH285" si="204">AY285</f>
        <v>0</v>
      </c>
      <c r="BI285" s="149">
        <f t="shared" ref="BI285" si="205">AZ285</f>
        <v>0</v>
      </c>
      <c r="BJ285" s="156">
        <f>SUM(BG285:BI285)</f>
        <v>1</v>
      </c>
      <c r="BK285" s="65"/>
      <c r="BL285" s="65"/>
      <c r="BM285" s="65"/>
    </row>
    <row r="286" spans="1:65" outlineLevel="1" x14ac:dyDescent="0.25">
      <c r="B286" s="201"/>
      <c r="C286" s="77"/>
      <c r="E286" s="61"/>
      <c r="F286" s="120" t="s">
        <v>985</v>
      </c>
      <c r="G286" s="4" t="s">
        <v>135</v>
      </c>
      <c r="H286" s="120" t="s">
        <v>144</v>
      </c>
      <c r="I286" s="120" t="s">
        <v>148</v>
      </c>
      <c r="J286" s="120" t="s">
        <v>146</v>
      </c>
      <c r="K286" s="88"/>
      <c r="L286" s="88"/>
      <c r="M286" s="88"/>
      <c r="N286" s="4" t="s">
        <v>135</v>
      </c>
      <c r="O286" s="120" t="s">
        <v>144</v>
      </c>
      <c r="P286" s="120" t="s">
        <v>148</v>
      </c>
      <c r="Q286" s="120" t="s">
        <v>146</v>
      </c>
      <c r="R286" s="88"/>
      <c r="S286" s="88"/>
      <c r="T286" s="88"/>
      <c r="U286" s="4" t="s">
        <v>135</v>
      </c>
      <c r="V286" s="120" t="s">
        <v>144</v>
      </c>
      <c r="W286" s="120" t="s">
        <v>148</v>
      </c>
      <c r="X286" s="120" t="s">
        <v>146</v>
      </c>
      <c r="Y286" s="74"/>
      <c r="Z286" s="120" t="str">
        <f>$Z$36</f>
        <v>[mm]</v>
      </c>
      <c r="AA286" s="75"/>
      <c r="AB286" s="61"/>
      <c r="AC286" s="65"/>
      <c r="AD286" s="65"/>
      <c r="AE286" s="89" t="s">
        <v>120</v>
      </c>
      <c r="AF286" s="89" t="s">
        <v>121</v>
      </c>
      <c r="AG286" s="89" t="s">
        <v>122</v>
      </c>
      <c r="AH286" s="65"/>
      <c r="AI286" s="89" t="s">
        <v>120</v>
      </c>
      <c r="AJ286" s="89" t="s">
        <v>121</v>
      </c>
      <c r="AK286" s="89" t="s">
        <v>122</v>
      </c>
      <c r="AL286" s="90"/>
      <c r="AM286" s="89" t="s">
        <v>120</v>
      </c>
      <c r="AN286" s="89" t="s">
        <v>121</v>
      </c>
      <c r="AO286" s="89" t="s">
        <v>122</v>
      </c>
      <c r="AP286" s="90" t="s">
        <v>123</v>
      </c>
      <c r="AQ286" s="65"/>
      <c r="AR286" s="65"/>
      <c r="AS286" s="65"/>
      <c r="AT286" s="89" t="s">
        <v>120</v>
      </c>
      <c r="AU286" s="89" t="s">
        <v>121</v>
      </c>
      <c r="AV286" s="89" t="s">
        <v>122</v>
      </c>
      <c r="AW286" s="65"/>
      <c r="AX286" s="89" t="s">
        <v>120</v>
      </c>
      <c r="AY286" s="89" t="s">
        <v>121</v>
      </c>
      <c r="AZ286" s="89" t="s">
        <v>122</v>
      </c>
      <c r="BA286" s="89" t="s">
        <v>354</v>
      </c>
      <c r="BB286" s="65"/>
      <c r="BC286" s="89" t="s">
        <v>120</v>
      </c>
      <c r="BD286" s="89" t="s">
        <v>121</v>
      </c>
      <c r="BE286" s="89" t="s">
        <v>122</v>
      </c>
      <c r="BF286" s="65"/>
      <c r="BG286" s="89" t="s">
        <v>120</v>
      </c>
      <c r="BH286" s="89" t="s">
        <v>121</v>
      </c>
      <c r="BI286" s="89" t="s">
        <v>122</v>
      </c>
      <c r="BJ286" s="89" t="s">
        <v>354</v>
      </c>
      <c r="BK286" s="65"/>
      <c r="BL286" s="65"/>
      <c r="BM286" s="65"/>
    </row>
    <row r="287" spans="1:65" outlineLevel="1" x14ac:dyDescent="0.25">
      <c r="B287" s="201"/>
      <c r="C287" s="91"/>
      <c r="D287" s="418" t="s">
        <v>1023</v>
      </c>
      <c r="E287" s="419"/>
      <c r="F287" s="94"/>
      <c r="G287" s="136">
        <f>IF(ISNUMBER(VLOOKUP(LEFT(D287,3),'Material editor'!$D$11:$H$110,'Material editor'!$E$8,0)),VLOOKUP(LEFT(D287,3),'Material editor'!$D$11:$H$110,'Material editor'!$E$8,0),"")</f>
        <v>0.54</v>
      </c>
      <c r="H287" s="137">
        <f>IF(ISNUMBER(VLOOKUP(LEFT(D287,3),'Material editor'!$D$11:$H$110,'Material editor'!$F$8,0)),VLOOKUP(LEFT(D287,3),'Material editor'!$D$11:$H$110,'Material editor'!$F$8,0),"")</f>
        <v>615.62380504232146</v>
      </c>
      <c r="I287" s="137">
        <f>IF(ISNUMBER(VLOOKUP(LEFT(D287,3),'Material editor'!$D$11:$H$110,'Material editor'!$G$8,0)),VLOOKUP(LEFT(D287,3),'Material editor'!$D$11:$H$110,'Material editor'!$G$8,0),"")</f>
        <v>118.443629056085</v>
      </c>
      <c r="J287" s="137">
        <f>IF(ISNUMBER(VLOOKUP(LEFT(D287,3),'Material editor'!$D$11:$H$110,'Material editor'!$H$8,0)),VLOOKUP(LEFT(D287,3),'Material editor'!$D$11:$H$110,'Material editor'!$H$8,0),"")</f>
        <v>40</v>
      </c>
      <c r="K287" s="418"/>
      <c r="L287" s="407"/>
      <c r="M287" s="94"/>
      <c r="N287" s="136" t="str">
        <f>IF(ISNUMBER(VLOOKUP(LEFT(K287,3),'Material editor'!$D$11:$H$110,'Material editor'!$E$8,0)),VLOOKUP(LEFT(K287,3),'Material editor'!$D$11:$H$110,'Material editor'!$E$8,0),"")</f>
        <v/>
      </c>
      <c r="O287" s="137" t="str">
        <f>IF(ISNUMBER(VLOOKUP(LEFT(K287,3),'Material editor'!$D$11:$H$110,'Material editor'!$F$8,0)),VLOOKUP(LEFT(K287,3),'Material editor'!$D$11:$H$110,'Material editor'!$F$8,0),"")</f>
        <v/>
      </c>
      <c r="P287" s="137" t="str">
        <f>IF(ISNUMBER(VLOOKUP(LEFT(K287,3),'Material editor'!$D$11:$H$110,'Material editor'!$G$8,0)),VLOOKUP(LEFT(K287,3),'Material editor'!$D$11:$H$110,'Material editor'!$G$8,0),"")</f>
        <v/>
      </c>
      <c r="Q287" s="137" t="str">
        <f>IF(ISNUMBER(VLOOKUP(LEFT(K287,3),'Material editor'!$D$11:$H$110,'Material editor'!$H$8,0)),VLOOKUP(LEFT(K287,3),'Material editor'!$D$11:$H$110,'Material editor'!$H$8,0),"")</f>
        <v/>
      </c>
      <c r="R287" s="418"/>
      <c r="S287" s="407"/>
      <c r="T287" s="94"/>
      <c r="U287" s="136" t="str">
        <f>IF(ISNUMBER(VLOOKUP(LEFT(R287,3),'Material editor'!$D$11:$H$110,'Material editor'!$E$8,0)),VLOOKUP(LEFT(R287,3),'Material editor'!$D$11:$H$110,'Material editor'!$E$8,0),"")</f>
        <v/>
      </c>
      <c r="V287" s="137" t="str">
        <f>IF(ISNUMBER(VLOOKUP(LEFT(R287,3),'Material editor'!$D$11:$H$110,'Material editor'!$F$8,0)),VLOOKUP(LEFT(R287,3),'Material editor'!$D$11:$H$110,'Material editor'!$F$8,0),"")</f>
        <v/>
      </c>
      <c r="W287" s="137" t="str">
        <f>IF(ISNUMBER(VLOOKUP(LEFT(R287,3),'Material editor'!$D$11:$H$110,'Material editor'!$G$8,0)),VLOOKUP(LEFT(R287,3),'Material editor'!$D$11:$H$110,'Material editor'!$G$8,0),"")</f>
        <v/>
      </c>
      <c r="X287" s="137" t="str">
        <f>IF(ISNUMBER(VLOOKUP(LEFT(R287,3),'Material editor'!$D$11:$H$110,'Material editor'!$H$8,0)),VLOOKUP(LEFT(R287,3),'Material editor'!$D$11:$H$110,'Material editor'!$H$8,0),"")</f>
        <v/>
      </c>
      <c r="Y287" s="74"/>
      <c r="Z287" s="94">
        <v>15</v>
      </c>
      <c r="AA287" s="8"/>
      <c r="AB287" s="61"/>
      <c r="AC287" s="65"/>
      <c r="AD287" s="65"/>
      <c r="AE287" s="95">
        <f t="shared" ref="AE287:AE294" si="206">IF(ISNUMBER(G287),IF(G287&gt;0,$Z287/1000/G287,0),0)</f>
        <v>2.7777777777777776E-2</v>
      </c>
      <c r="AF287" s="95">
        <f t="shared" ref="AF287:AF294" si="207">IF(ISNUMBER(N287),IF(N287&gt;0,$Z287/1000/N287,0),$AE287)</f>
        <v>2.7777777777777776E-2</v>
      </c>
      <c r="AG287" s="95">
        <f t="shared" ref="AG287:AG294" si="208">IF(ISNUMBER(U287),IF(U287&gt;0,$Z287/1000/U287,0),$AE287)</f>
        <v>2.7777777777777776E-2</v>
      </c>
      <c r="AH287" s="65"/>
      <c r="AI287" s="95">
        <f t="shared" ref="AI287:AI293" si="209">IF(ISNUMBER(G287),G287,0)</f>
        <v>0.54</v>
      </c>
      <c r="AJ287" s="95">
        <f t="shared" ref="AJ287:AJ294" si="210">IF(ISNUMBER(N287),IF(N287&gt;0,N287,0),$AI287)</f>
        <v>0.54</v>
      </c>
      <c r="AK287" s="95">
        <f t="shared" ref="AK287:AK294" si="211">IF(ISNUMBER(U287),IF(U287&gt;0,U287,0),$AI287)</f>
        <v>0.54</v>
      </c>
      <c r="AL287" s="65"/>
      <c r="AM287" s="96">
        <f>AE296</f>
        <v>1</v>
      </c>
      <c r="AN287" s="96">
        <f>AF296</f>
        <v>0</v>
      </c>
      <c r="AO287" s="96">
        <f>AG296</f>
        <v>0</v>
      </c>
      <c r="AP287" s="65">
        <f t="shared" ref="AP287:AP294" si="212">IF(AI287&lt;&gt;0,Z287/1000/SUMPRODUCT(AM287:AO287,AI287:AK287),0)</f>
        <v>2.7777777777777776E-2</v>
      </c>
      <c r="AQ287" s="65"/>
      <c r="AR287" s="65"/>
      <c r="AS287" s="65"/>
      <c r="AT287" s="95">
        <f>IF(ISNUMBER(H287),H287*F287*Z287/1000*Balance!$H$13/J287,0)</f>
        <v>0</v>
      </c>
      <c r="AU287" s="95">
        <f>IF(ISTEXT(K287),IF(ISNUMBER(O287),O287*M287*Z287/1000*Balance!$H$13/Q287,0),AT287)</f>
        <v>0</v>
      </c>
      <c r="AV287" s="95">
        <f>IF(ISTEXT(R287),IF(ISNUMBER(V287),V287*T287*Z287/1000*Balance!$H$13/X287,0),AT287)</f>
        <v>0</v>
      </c>
      <c r="AW287" s="99"/>
      <c r="AX287" s="95">
        <f>AT287*AX285</f>
        <v>0</v>
      </c>
      <c r="AY287" s="95">
        <f>AU287*AY285</f>
        <v>0</v>
      </c>
      <c r="AZ287" s="95">
        <f>AV287*AZ285</f>
        <v>0</v>
      </c>
      <c r="BA287" s="95">
        <f>SUM(AX287:AZ287)</f>
        <v>0</v>
      </c>
      <c r="BB287" s="65"/>
      <c r="BC287" s="95">
        <f>IF(ISNUMBER(I287),I287*F287*Z287/1000*Balance!$H$13/J287,0)</f>
        <v>0</v>
      </c>
      <c r="BD287" s="95">
        <f>IF(ISTEXT(K287),IF(ISNUMBER(P287),P287*M287*Z287/1000*Balance!$H$13/Q287,0),BC287)</f>
        <v>0</v>
      </c>
      <c r="BE287" s="95">
        <f>IF(ISTEXT(R287),IF(ISNUMBER(W287),W287*T287*Z287/1000*Balance!$H$13/X287,0),BC287)</f>
        <v>0</v>
      </c>
      <c r="BF287" s="99"/>
      <c r="BG287" s="95">
        <f>BC287*BG285</f>
        <v>0</v>
      </c>
      <c r="BH287" s="95">
        <f>BD287*BH285</f>
        <v>0</v>
      </c>
      <c r="BI287" s="95">
        <f>BE287*BI285</f>
        <v>0</v>
      </c>
      <c r="BJ287" s="95">
        <f>SUM(BG287:BI287)</f>
        <v>0</v>
      </c>
      <c r="BK287" s="65"/>
      <c r="BL287" s="65"/>
      <c r="BM287" s="65"/>
    </row>
    <row r="288" spans="1:65" outlineLevel="1" x14ac:dyDescent="0.25">
      <c r="B288" s="201"/>
      <c r="C288" s="91"/>
      <c r="D288" s="418" t="s">
        <v>1034</v>
      </c>
      <c r="E288" s="407"/>
      <c r="F288" s="94"/>
      <c r="G288" s="136">
        <f>IF(ISNUMBER(VLOOKUP(LEFT(D288,3),'Material editor'!$D$11:$H$110,'Material editor'!$E$8,0)),VLOOKUP(LEFT(D288,3),'Material editor'!$D$11:$H$110,'Material editor'!$E$8,0),"")</f>
        <v>0.5</v>
      </c>
      <c r="H288" s="137">
        <f>IF(ISNUMBER(VLOOKUP(LEFT(D288,3),'Material editor'!$D$11:$H$110,'Material editor'!$F$8,0)),VLOOKUP(LEFT(D288,3),'Material editor'!$D$11:$H$110,'Material editor'!$F$8,0),"")</f>
        <v>387.5</v>
      </c>
      <c r="I288" s="137">
        <f>IF(ISNUMBER(VLOOKUP(LEFT(D288,3),'Material editor'!$D$11:$H$110,'Material editor'!$G$8,0)),VLOOKUP(LEFT(D288,3),'Material editor'!$D$11:$H$110,'Material editor'!$G$8,0),"")</f>
        <v>113</v>
      </c>
      <c r="J288" s="137">
        <f>IF(ISNUMBER(VLOOKUP(LEFT(D288,3),'Material editor'!$D$11:$H$110,'Material editor'!$H$8,0)),VLOOKUP(LEFT(D288,3),'Material editor'!$D$11:$H$110,'Material editor'!$H$8,0),"")</f>
        <v>80</v>
      </c>
      <c r="K288" s="418"/>
      <c r="L288" s="407"/>
      <c r="M288" s="94"/>
      <c r="N288" s="136" t="str">
        <f>IF(ISNUMBER(VLOOKUP(LEFT(K288,3),'Material editor'!$D$11:$H$110,'Material editor'!$E$8,0)),VLOOKUP(LEFT(K288,3),'Material editor'!$D$11:$H$110,'Material editor'!$E$8,0),"")</f>
        <v/>
      </c>
      <c r="O288" s="137" t="str">
        <f>IF(ISNUMBER(VLOOKUP(LEFT(K288,3),'Material editor'!$D$11:$H$110,'Material editor'!$F$8,0)),VLOOKUP(LEFT(K288,3),'Material editor'!$D$11:$H$110,'Material editor'!$F$8,0),"")</f>
        <v/>
      </c>
      <c r="P288" s="137" t="str">
        <f>IF(ISNUMBER(VLOOKUP(LEFT(K288,3),'Material editor'!$D$11:$H$110,'Material editor'!$G$8,0)),VLOOKUP(LEFT(K288,3),'Material editor'!$D$11:$H$110,'Material editor'!$G$8,0),"")</f>
        <v/>
      </c>
      <c r="Q288" s="137" t="str">
        <f>IF(ISNUMBER(VLOOKUP(LEFT(K288,3),'Material editor'!$D$11:$H$110,'Material editor'!$H$8,0)),VLOOKUP(LEFT(K288,3),'Material editor'!$D$11:$H$110,'Material editor'!$H$8,0),"")</f>
        <v/>
      </c>
      <c r="R288" s="418"/>
      <c r="S288" s="407"/>
      <c r="T288" s="94"/>
      <c r="U288" s="136" t="str">
        <f>IF(ISNUMBER(VLOOKUP(LEFT(R288,3),'Material editor'!$D$11:$H$110,'Material editor'!$E$8,0)),VLOOKUP(LEFT(R288,3),'Material editor'!$D$11:$H$110,'Material editor'!$E$8,0),"")</f>
        <v/>
      </c>
      <c r="V288" s="137" t="str">
        <f>IF(ISNUMBER(VLOOKUP(LEFT(R288,3),'Material editor'!$D$11:$H$110,'Material editor'!$F$8,0)),VLOOKUP(LEFT(R288,3),'Material editor'!$D$11:$H$110,'Material editor'!$F$8,0),"")</f>
        <v/>
      </c>
      <c r="W288" s="137" t="str">
        <f>IF(ISNUMBER(VLOOKUP(LEFT(R288,3),'Material editor'!$D$11:$H$110,'Material editor'!$G$8,0)),VLOOKUP(LEFT(R288,3),'Material editor'!$D$11:$H$110,'Material editor'!$G$8,0),"")</f>
        <v/>
      </c>
      <c r="X288" s="137" t="str">
        <f>IF(ISNUMBER(VLOOKUP(LEFT(R288,3),'Material editor'!$D$11:$H$110,'Material editor'!$H$8,0)),VLOOKUP(LEFT(R288,3),'Material editor'!$D$11:$H$110,'Material editor'!$H$8,0),"")</f>
        <v/>
      </c>
      <c r="Y288" s="74"/>
      <c r="Z288" s="94">
        <v>240</v>
      </c>
      <c r="AA288" s="8"/>
      <c r="AB288" s="61"/>
      <c r="AC288" s="65"/>
      <c r="AD288" s="65"/>
      <c r="AE288" s="95">
        <f t="shared" si="206"/>
        <v>0.48</v>
      </c>
      <c r="AF288" s="95">
        <f t="shared" si="207"/>
        <v>0.48</v>
      </c>
      <c r="AG288" s="95">
        <f t="shared" si="208"/>
        <v>0.48</v>
      </c>
      <c r="AH288" s="65"/>
      <c r="AI288" s="95">
        <f t="shared" si="209"/>
        <v>0.5</v>
      </c>
      <c r="AJ288" s="95">
        <f t="shared" si="210"/>
        <v>0.5</v>
      </c>
      <c r="AK288" s="95">
        <f t="shared" si="211"/>
        <v>0.5</v>
      </c>
      <c r="AL288" s="65"/>
      <c r="AM288" s="96">
        <f t="shared" ref="AM288:AO288" si="213">AM287</f>
        <v>1</v>
      </c>
      <c r="AN288" s="96">
        <f t="shared" si="213"/>
        <v>0</v>
      </c>
      <c r="AO288" s="96">
        <f t="shared" si="213"/>
        <v>0</v>
      </c>
      <c r="AP288" s="65">
        <f t="shared" si="212"/>
        <v>0.48</v>
      </c>
      <c r="AQ288" s="65"/>
      <c r="AR288" s="65"/>
      <c r="AS288" s="65"/>
      <c r="AT288" s="95">
        <f>IF(ISNUMBER(H288),H288*F288*Z288/1000*Balance!$H$13/J288,0)</f>
        <v>0</v>
      </c>
      <c r="AU288" s="95">
        <f>IF(ISTEXT(K288),IF(ISNUMBER(O288),O288*M288*Z288/1000*Balance!$H$13/Q288,0),AT288)</f>
        <v>0</v>
      </c>
      <c r="AV288" s="95">
        <f>IF(ISTEXT(R288),IF(ISNUMBER(V288),V288*T288*Z288/1000*Balance!$H$13/X288,0),AT288)</f>
        <v>0</v>
      </c>
      <c r="AW288" s="65"/>
      <c r="AX288" s="95">
        <f>AT288*AX285</f>
        <v>0</v>
      </c>
      <c r="AY288" s="95">
        <f>AU288*AY285</f>
        <v>0</v>
      </c>
      <c r="AZ288" s="95">
        <f>AV288*AZ285</f>
        <v>0</v>
      </c>
      <c r="BA288" s="95">
        <f t="shared" ref="BA288:BA294" si="214">SUM(AX288:AZ288)</f>
        <v>0</v>
      </c>
      <c r="BB288" s="65"/>
      <c r="BC288" s="95">
        <f>IF(ISNUMBER(I288),I288*F288*Z288/1000*Balance!$H$13/J288,0)</f>
        <v>0</v>
      </c>
      <c r="BD288" s="95">
        <f>IF(ISTEXT(K288),IF(ISNUMBER(P288),P288*M288*Z288/1000*Balance!$H$13/Q288,0),BC288)</f>
        <v>0</v>
      </c>
      <c r="BE288" s="95">
        <f>IF(ISTEXT(R288),IF(ISNUMBER(W288),W288*T288*Z288/1000*Balance!$H$13/X288,0),BC288)</f>
        <v>0</v>
      </c>
      <c r="BF288" s="65"/>
      <c r="BG288" s="95">
        <f>BC288*BG285</f>
        <v>0</v>
      </c>
      <c r="BH288" s="95">
        <f>BD288*BH285</f>
        <v>0</v>
      </c>
      <c r="BI288" s="95">
        <f>BE288*BI285</f>
        <v>0</v>
      </c>
      <c r="BJ288" s="95">
        <f t="shared" ref="BJ288:BJ294" si="215">SUM(BG288:BI288)</f>
        <v>0</v>
      </c>
      <c r="BK288" s="65"/>
      <c r="BL288" s="65"/>
      <c r="BM288" s="65"/>
    </row>
    <row r="289" spans="2:65" outlineLevel="1" x14ac:dyDescent="0.25">
      <c r="B289" s="201"/>
      <c r="C289" s="91"/>
      <c r="D289" s="418" t="s">
        <v>1027</v>
      </c>
      <c r="E289" s="419"/>
      <c r="F289" s="94"/>
      <c r="G289" s="136">
        <f>IF(ISNUMBER(VLOOKUP(LEFT(D289,3),'Material editor'!$D$11:$H$110,'Material editor'!$E$8,0)),VLOOKUP(LEFT(D289,3),'Material editor'!$D$11:$H$110,'Material editor'!$E$8,0),"")</f>
        <v>1</v>
      </c>
      <c r="H289" s="137">
        <f>IF(ISNUMBER(VLOOKUP(LEFT(D289,3),'Material editor'!$D$11:$H$110,'Material editor'!$F$8,0)),VLOOKUP(LEFT(D289,3),'Material editor'!$D$11:$H$110,'Material editor'!$F$8,0),"")</f>
        <v>905.22046069906946</v>
      </c>
      <c r="I289" s="137">
        <f>IF(ISNUMBER(VLOOKUP(LEFT(D289,3),'Material editor'!$D$11:$H$110,'Material editor'!$G$8,0)),VLOOKUP(LEFT(D289,3),'Material editor'!$D$11:$H$110,'Material editor'!$G$8,0),"")</f>
        <v>354.91241395986202</v>
      </c>
      <c r="J289" s="137">
        <f>IF(ISNUMBER(VLOOKUP(LEFT(D289,3),'Material editor'!$D$11:$H$110,'Material editor'!$H$8,0)),VLOOKUP(LEFT(D289,3),'Material editor'!$D$11:$H$110,'Material editor'!$H$8,0),"")</f>
        <v>40</v>
      </c>
      <c r="K289" s="418"/>
      <c r="L289" s="407"/>
      <c r="M289" s="94"/>
      <c r="N289" s="136" t="str">
        <f>IF(ISNUMBER(VLOOKUP(LEFT(K289,3),'Material editor'!$D$11:$H$110,'Material editor'!$E$8,0)),VLOOKUP(LEFT(K289,3),'Material editor'!$D$11:$H$110,'Material editor'!$E$8,0),"")</f>
        <v/>
      </c>
      <c r="O289" s="137" t="str">
        <f>IF(ISNUMBER(VLOOKUP(LEFT(K289,3),'Material editor'!$D$11:$H$110,'Material editor'!$F$8,0)),VLOOKUP(LEFT(K289,3),'Material editor'!$D$11:$H$110,'Material editor'!$F$8,0),"")</f>
        <v/>
      </c>
      <c r="P289" s="137" t="str">
        <f>IF(ISNUMBER(VLOOKUP(LEFT(K289,3),'Material editor'!$D$11:$H$110,'Material editor'!$G$8,0)),VLOOKUP(LEFT(K289,3),'Material editor'!$D$11:$H$110,'Material editor'!$G$8,0),"")</f>
        <v/>
      </c>
      <c r="Q289" s="137" t="str">
        <f>IF(ISNUMBER(VLOOKUP(LEFT(K289,3),'Material editor'!$D$11:$H$110,'Material editor'!$H$8,0)),VLOOKUP(LEFT(K289,3),'Material editor'!$D$11:$H$110,'Material editor'!$H$8,0),"")</f>
        <v/>
      </c>
      <c r="R289" s="418"/>
      <c r="S289" s="407"/>
      <c r="T289" s="94"/>
      <c r="U289" s="136" t="str">
        <f>IF(ISNUMBER(VLOOKUP(LEFT(R289,3),'Material editor'!$D$11:$H$110,'Material editor'!$E$8,0)),VLOOKUP(LEFT(R289,3),'Material editor'!$D$11:$H$110,'Material editor'!$E$8,0),"")</f>
        <v/>
      </c>
      <c r="V289" s="137" t="str">
        <f>IF(ISNUMBER(VLOOKUP(LEFT(R289,3),'Material editor'!$D$11:$H$110,'Material editor'!$F$8,0)),VLOOKUP(LEFT(R289,3),'Material editor'!$D$11:$H$110,'Material editor'!$F$8,0),"")</f>
        <v/>
      </c>
      <c r="W289" s="137" t="str">
        <f>IF(ISNUMBER(VLOOKUP(LEFT(R289,3),'Material editor'!$D$11:$H$110,'Material editor'!$G$8,0)),VLOOKUP(LEFT(R289,3),'Material editor'!$D$11:$H$110,'Material editor'!$G$8,0),"")</f>
        <v/>
      </c>
      <c r="X289" s="137" t="str">
        <f>IF(ISNUMBER(VLOOKUP(LEFT(R289,3),'Material editor'!$D$11:$H$110,'Material editor'!$H$8,0)),VLOOKUP(LEFT(R289,3),'Material editor'!$D$11:$H$110,'Material editor'!$H$8,0),"")</f>
        <v/>
      </c>
      <c r="Y289" s="74"/>
      <c r="Z289" s="94">
        <v>20</v>
      </c>
      <c r="AA289" s="8"/>
      <c r="AB289" s="61"/>
      <c r="AC289" s="65"/>
      <c r="AD289" s="65"/>
      <c r="AE289" s="95">
        <f t="shared" si="206"/>
        <v>0.02</v>
      </c>
      <c r="AF289" s="95">
        <f t="shared" si="207"/>
        <v>0.02</v>
      </c>
      <c r="AG289" s="95">
        <f t="shared" si="208"/>
        <v>0.02</v>
      </c>
      <c r="AH289" s="65"/>
      <c r="AI289" s="95">
        <f t="shared" si="209"/>
        <v>1</v>
      </c>
      <c r="AJ289" s="95">
        <f t="shared" si="210"/>
        <v>1</v>
      </c>
      <c r="AK289" s="95">
        <f t="shared" si="211"/>
        <v>1</v>
      </c>
      <c r="AL289" s="65"/>
      <c r="AM289" s="96">
        <f t="shared" ref="AM289:AO289" si="216">AM288</f>
        <v>1</v>
      </c>
      <c r="AN289" s="96">
        <f t="shared" si="216"/>
        <v>0</v>
      </c>
      <c r="AO289" s="96">
        <f t="shared" si="216"/>
        <v>0</v>
      </c>
      <c r="AP289" s="65">
        <f t="shared" si="212"/>
        <v>0.02</v>
      </c>
      <c r="AQ289" s="65"/>
      <c r="AR289" s="65"/>
      <c r="AS289" s="65"/>
      <c r="AT289" s="95">
        <f>IF(ISNUMBER(H289),H289*F289*Z289/1000*Balance!$H$13/J289,0)</f>
        <v>0</v>
      </c>
      <c r="AU289" s="95">
        <f>IF(ISTEXT(K289),IF(ISNUMBER(O289),O289*M289*Z289/1000*Balance!$H$13/Q289,0),AT289)</f>
        <v>0</v>
      </c>
      <c r="AV289" s="95">
        <f>IF(ISTEXT(R289),IF(ISNUMBER(V289),V289*T289*Z289/1000*Balance!$H$13/X289,0),AT289)</f>
        <v>0</v>
      </c>
      <c r="AW289" s="65"/>
      <c r="AX289" s="95">
        <f>AT289*AX285</f>
        <v>0</v>
      </c>
      <c r="AY289" s="95">
        <f>AU289*AY285</f>
        <v>0</v>
      </c>
      <c r="AZ289" s="95">
        <f>AV289*AZ285</f>
        <v>0</v>
      </c>
      <c r="BA289" s="95">
        <f t="shared" si="214"/>
        <v>0</v>
      </c>
      <c r="BB289" s="65"/>
      <c r="BC289" s="95">
        <f>IF(ISNUMBER(I289),I289*F289*Z289/1000*Balance!$H$13/J289,0)</f>
        <v>0</v>
      </c>
      <c r="BD289" s="95">
        <f>IF(ISTEXT(K289),IF(ISNUMBER(P289),P289*M289*Z289/1000*Balance!$H$13/Q289,0),BC289)</f>
        <v>0</v>
      </c>
      <c r="BE289" s="95">
        <f>IF(ISTEXT(R289),IF(ISNUMBER(W289),W289*T289*Z289/1000*Balance!$H$13/X289,0),BC289)</f>
        <v>0</v>
      </c>
      <c r="BF289" s="65"/>
      <c r="BG289" s="95">
        <f>BC289*BG285</f>
        <v>0</v>
      </c>
      <c r="BH289" s="95">
        <f>BD289*BH285</f>
        <v>0</v>
      </c>
      <c r="BI289" s="95">
        <f>BE289*BI285</f>
        <v>0</v>
      </c>
      <c r="BJ289" s="95">
        <f t="shared" si="215"/>
        <v>0</v>
      </c>
      <c r="BK289" s="65"/>
      <c r="BL289" s="65"/>
      <c r="BM289" s="65"/>
    </row>
    <row r="290" spans="2:65" outlineLevel="1" x14ac:dyDescent="0.25">
      <c r="B290" s="201"/>
      <c r="C290" s="91"/>
      <c r="D290" s="418" t="s">
        <v>1026</v>
      </c>
      <c r="E290" s="419"/>
      <c r="F290" s="94">
        <v>1</v>
      </c>
      <c r="G290" s="136">
        <f>IF(ISNUMBER(VLOOKUP(LEFT(D290,3),'Material editor'!$D$11:$H$110,'Material editor'!$E$8,0)),VLOOKUP(LEFT(D290,3),'Material editor'!$D$11:$H$110,'Material editor'!$E$8,0),"")</f>
        <v>0.7</v>
      </c>
      <c r="H290" s="137">
        <f>IF(ISNUMBER(VLOOKUP(LEFT(D290,3),'Material editor'!$D$11:$H$110,'Material editor'!$F$8,0)),VLOOKUP(LEFT(D290,3),'Material editor'!$D$11:$H$110,'Material editor'!$F$8,0),"")</f>
        <v>496.23211201094273</v>
      </c>
      <c r="I290" s="137">
        <f>IF(ISNUMBER(VLOOKUP(LEFT(D290,3),'Material editor'!$D$11:$H$110,'Material editor'!$G$8,0)),VLOOKUP(LEFT(D290,3),'Material editor'!$D$11:$H$110,'Material editor'!$G$8,0),"")</f>
        <v>103.94883076360401</v>
      </c>
      <c r="J290" s="137">
        <f>IF(ISNUMBER(VLOOKUP(LEFT(D290,3),'Material editor'!$D$11:$H$110,'Material editor'!$H$8,0)),VLOOKUP(LEFT(D290,3),'Material editor'!$D$11:$H$110,'Material editor'!$H$8,0),"")</f>
        <v>40</v>
      </c>
      <c r="K290" s="418"/>
      <c r="L290" s="407"/>
      <c r="M290" s="94"/>
      <c r="N290" s="136" t="str">
        <f>IF(ISNUMBER(VLOOKUP(LEFT(K290,3),'Material editor'!$D$11:$H$110,'Material editor'!$E$8,0)),VLOOKUP(LEFT(K290,3),'Material editor'!$D$11:$H$110,'Material editor'!$E$8,0),"")</f>
        <v/>
      </c>
      <c r="O290" s="137" t="str">
        <f>IF(ISNUMBER(VLOOKUP(LEFT(K290,3),'Material editor'!$D$11:$H$110,'Material editor'!$F$8,0)),VLOOKUP(LEFT(K290,3),'Material editor'!$D$11:$H$110,'Material editor'!$F$8,0),"")</f>
        <v/>
      </c>
      <c r="P290" s="137" t="str">
        <f>IF(ISNUMBER(VLOOKUP(LEFT(K290,3),'Material editor'!$D$11:$H$110,'Material editor'!$G$8,0)),VLOOKUP(LEFT(K290,3),'Material editor'!$D$11:$H$110,'Material editor'!$G$8,0),"")</f>
        <v/>
      </c>
      <c r="Q290" s="137" t="str">
        <f>IF(ISNUMBER(VLOOKUP(LEFT(K290,3),'Material editor'!$D$11:$H$110,'Material editor'!$H$8,0)),VLOOKUP(LEFT(K290,3),'Material editor'!$D$11:$H$110,'Material editor'!$H$8,0),"")</f>
        <v/>
      </c>
      <c r="R290" s="418"/>
      <c r="S290" s="407"/>
      <c r="T290" s="94"/>
      <c r="U290" s="136" t="str">
        <f>IF(ISNUMBER(VLOOKUP(LEFT(R290,3),'Material editor'!$D$11:$H$110,'Material editor'!$E$8,0)),VLOOKUP(LEFT(R290,3),'Material editor'!$D$11:$H$110,'Material editor'!$E$8,0),"")</f>
        <v/>
      </c>
      <c r="V290" s="137" t="str">
        <f>IF(ISNUMBER(VLOOKUP(LEFT(R290,3),'Material editor'!$D$11:$H$110,'Material editor'!$F$8,0)),VLOOKUP(LEFT(R290,3),'Material editor'!$D$11:$H$110,'Material editor'!$F$8,0),"")</f>
        <v/>
      </c>
      <c r="W290" s="137" t="str">
        <f>IF(ISNUMBER(VLOOKUP(LEFT(R290,3),'Material editor'!$D$11:$H$110,'Material editor'!$G$8,0)),VLOOKUP(LEFT(R290,3),'Material editor'!$D$11:$H$110,'Material editor'!$G$8,0),"")</f>
        <v/>
      </c>
      <c r="X290" s="137" t="str">
        <f>IF(ISNUMBER(VLOOKUP(LEFT(R290,3),'Material editor'!$D$11:$H$110,'Material editor'!$H$8,0)),VLOOKUP(LEFT(R290,3),'Material editor'!$D$11:$H$110,'Material editor'!$H$8,0),"")</f>
        <v/>
      </c>
      <c r="Y290" s="74"/>
      <c r="Z290" s="94">
        <v>4</v>
      </c>
      <c r="AA290" s="8"/>
      <c r="AB290" s="61"/>
      <c r="AC290" s="65"/>
      <c r="AD290" s="65"/>
      <c r="AE290" s="95">
        <f t="shared" si="206"/>
        <v>5.7142857142857151E-3</v>
      </c>
      <c r="AF290" s="95">
        <f t="shared" si="207"/>
        <v>5.7142857142857151E-3</v>
      </c>
      <c r="AG290" s="95">
        <f t="shared" si="208"/>
        <v>5.7142857142857151E-3</v>
      </c>
      <c r="AH290" s="65"/>
      <c r="AI290" s="95">
        <f t="shared" si="209"/>
        <v>0.7</v>
      </c>
      <c r="AJ290" s="95">
        <f t="shared" si="210"/>
        <v>0.7</v>
      </c>
      <c r="AK290" s="95">
        <f t="shared" si="211"/>
        <v>0.7</v>
      </c>
      <c r="AL290" s="65"/>
      <c r="AM290" s="96">
        <f t="shared" ref="AM290:AO290" si="217">AM289</f>
        <v>1</v>
      </c>
      <c r="AN290" s="96">
        <f t="shared" si="217"/>
        <v>0</v>
      </c>
      <c r="AO290" s="96">
        <f t="shared" si="217"/>
        <v>0</v>
      </c>
      <c r="AP290" s="65">
        <f t="shared" si="212"/>
        <v>5.7142857142857151E-3</v>
      </c>
      <c r="AQ290" s="65"/>
      <c r="AR290" s="65"/>
      <c r="AS290" s="65"/>
      <c r="AT290" s="95">
        <f>IF(ISNUMBER(H290),H290*F290*Z290/1000*Balance!$H$13/J290,0)</f>
        <v>0.9924642240218855</v>
      </c>
      <c r="AU290" s="95">
        <f>IF(ISTEXT(K290),IF(ISNUMBER(O290),O290*M290*Z290/1000*Balance!$H$13/Q290,0),AT290)</f>
        <v>0.9924642240218855</v>
      </c>
      <c r="AV290" s="95">
        <f>IF(ISTEXT(R290),IF(ISNUMBER(V290),V290*T290*Z290/1000*Balance!$H$13/X290,0),AT290)</f>
        <v>0.9924642240218855</v>
      </c>
      <c r="AW290" s="65"/>
      <c r="AX290" s="95">
        <f>AT290*AX285</f>
        <v>0.9924642240218855</v>
      </c>
      <c r="AY290" s="95">
        <f>AU290*AY285</f>
        <v>0</v>
      </c>
      <c r="AZ290" s="95">
        <f>AV290*AZ285</f>
        <v>0</v>
      </c>
      <c r="BA290" s="95">
        <f t="shared" si="214"/>
        <v>0.9924642240218855</v>
      </c>
      <c r="BB290" s="65"/>
      <c r="BC290" s="95">
        <f>IF(ISNUMBER(I290),I290*F290*Z290/1000*Balance!$H$13/J290,0)</f>
        <v>0.20789766152720804</v>
      </c>
      <c r="BD290" s="95">
        <f>IF(ISTEXT(K290),IF(ISNUMBER(P290),P290*M290*Z290/1000*Balance!$H$13/Q290,0),BC290)</f>
        <v>0.20789766152720804</v>
      </c>
      <c r="BE290" s="95">
        <f>IF(ISTEXT(R290),IF(ISNUMBER(W290),W290*T290*Z290/1000*Balance!$H$13/X290,0),BC290)</f>
        <v>0.20789766152720804</v>
      </c>
      <c r="BF290" s="65"/>
      <c r="BG290" s="95">
        <f>BC290*BG285</f>
        <v>0.20789766152720804</v>
      </c>
      <c r="BH290" s="95">
        <f>BD290*BH285</f>
        <v>0</v>
      </c>
      <c r="BI290" s="95">
        <f>BE290*BI285</f>
        <v>0</v>
      </c>
      <c r="BJ290" s="95">
        <f t="shared" si="215"/>
        <v>0.20789766152720804</v>
      </c>
      <c r="BK290" s="65"/>
      <c r="BL290" s="65"/>
      <c r="BM290" s="65"/>
    </row>
    <row r="291" spans="2:65" outlineLevel="1" x14ac:dyDescent="0.25">
      <c r="B291" s="201"/>
      <c r="C291" s="91"/>
      <c r="D291" s="418" t="s">
        <v>1007</v>
      </c>
      <c r="E291" s="419"/>
      <c r="F291" s="94">
        <v>1</v>
      </c>
      <c r="G291" s="136">
        <f>IF(ISNUMBER(VLOOKUP(LEFT(D291,3),'Material editor'!$D$11:$H$110,'Material editor'!$E$8,0)),VLOOKUP(LEFT(D291,3),'Material editor'!$D$11:$H$110,'Material editor'!$E$8,0),"")</f>
        <v>3.2000000000000001E-2</v>
      </c>
      <c r="H291" s="137">
        <f>IF(ISNUMBER(VLOOKUP(LEFT(D291,3),'Material editor'!$D$11:$H$110,'Material editor'!$F$8,0)),VLOOKUP(LEFT(D291,3),'Material editor'!$D$11:$H$110,'Material editor'!$F$8,0),"")</f>
        <v>217.89999999999998</v>
      </c>
      <c r="I291" s="137">
        <f>IF(ISNUMBER(VLOOKUP(LEFT(D291,3),'Material editor'!$D$11:$H$110,'Material editor'!$G$8,0)),VLOOKUP(LEFT(D291,3),'Material editor'!$D$11:$H$110,'Material editor'!$G$8,0),"")</f>
        <v>49.7</v>
      </c>
      <c r="J291" s="137">
        <f>IF(ISNUMBER(VLOOKUP(LEFT(D291,3),'Material editor'!$D$11:$H$110,'Material editor'!$H$8,0)),VLOOKUP(LEFT(D291,3),'Material editor'!$D$11:$H$110,'Material editor'!$H$8,0),"")</f>
        <v>40</v>
      </c>
      <c r="K291" s="418"/>
      <c r="L291" s="407"/>
      <c r="M291" s="94"/>
      <c r="N291" s="136" t="str">
        <f>IF(ISNUMBER(VLOOKUP(LEFT(K291,3),'Material editor'!$D$11:$H$110,'Material editor'!$E$8,0)),VLOOKUP(LEFT(K291,3),'Material editor'!$D$11:$H$110,'Material editor'!$E$8,0),"")</f>
        <v/>
      </c>
      <c r="O291" s="137" t="str">
        <f>IF(ISNUMBER(VLOOKUP(LEFT(K291,3),'Material editor'!$D$11:$H$110,'Material editor'!$F$8,0)),VLOOKUP(LEFT(K291,3),'Material editor'!$D$11:$H$110,'Material editor'!$F$8,0),"")</f>
        <v/>
      </c>
      <c r="P291" s="137" t="str">
        <f>IF(ISNUMBER(VLOOKUP(LEFT(K291,3),'Material editor'!$D$11:$H$110,'Material editor'!$G$8,0)),VLOOKUP(LEFT(K291,3),'Material editor'!$D$11:$H$110,'Material editor'!$G$8,0),"")</f>
        <v/>
      </c>
      <c r="Q291" s="137" t="str">
        <f>IF(ISNUMBER(VLOOKUP(LEFT(K291,3),'Material editor'!$D$11:$H$110,'Material editor'!$H$8,0)),VLOOKUP(LEFT(K291,3),'Material editor'!$D$11:$H$110,'Material editor'!$H$8,0),"")</f>
        <v/>
      </c>
      <c r="R291" s="418"/>
      <c r="S291" s="407"/>
      <c r="T291" s="94"/>
      <c r="U291" s="136" t="str">
        <f>IF(ISNUMBER(VLOOKUP(LEFT(R291,3),'Material editor'!$D$11:$H$110,'Material editor'!$E$8,0)),VLOOKUP(LEFT(R291,3),'Material editor'!$D$11:$H$110,'Material editor'!$E$8,0),"")</f>
        <v/>
      </c>
      <c r="V291" s="137" t="str">
        <f>IF(ISNUMBER(VLOOKUP(LEFT(R291,3),'Material editor'!$D$11:$H$110,'Material editor'!$F$8,0)),VLOOKUP(LEFT(R291,3),'Material editor'!$D$11:$H$110,'Material editor'!$F$8,0),"")</f>
        <v/>
      </c>
      <c r="W291" s="137" t="str">
        <f>IF(ISNUMBER(VLOOKUP(LEFT(R291,3),'Material editor'!$D$11:$H$110,'Material editor'!$G$8,0)),VLOOKUP(LEFT(R291,3),'Material editor'!$D$11:$H$110,'Material editor'!$G$8,0),"")</f>
        <v/>
      </c>
      <c r="X291" s="137" t="str">
        <f>IF(ISNUMBER(VLOOKUP(LEFT(R291,3),'Material editor'!$D$11:$H$110,'Material editor'!$H$8,0)),VLOOKUP(LEFT(R291,3),'Material editor'!$D$11:$H$110,'Material editor'!$H$8,0),"")</f>
        <v/>
      </c>
      <c r="Y291" s="74"/>
      <c r="Z291" s="94">
        <v>193</v>
      </c>
      <c r="AA291" s="8"/>
      <c r="AB291" s="61"/>
      <c r="AC291" s="65"/>
      <c r="AD291" s="65"/>
      <c r="AE291" s="95">
        <f t="shared" si="206"/>
        <v>6.03125</v>
      </c>
      <c r="AF291" s="95">
        <f t="shared" si="207"/>
        <v>6.03125</v>
      </c>
      <c r="AG291" s="95">
        <f t="shared" si="208"/>
        <v>6.03125</v>
      </c>
      <c r="AH291" s="65"/>
      <c r="AI291" s="95">
        <f t="shared" si="209"/>
        <v>3.2000000000000001E-2</v>
      </c>
      <c r="AJ291" s="95">
        <f t="shared" si="210"/>
        <v>3.2000000000000001E-2</v>
      </c>
      <c r="AK291" s="95">
        <f t="shared" si="211"/>
        <v>3.2000000000000001E-2</v>
      </c>
      <c r="AL291" s="65"/>
      <c r="AM291" s="96">
        <f t="shared" ref="AM291:AO291" si="218">AM290</f>
        <v>1</v>
      </c>
      <c r="AN291" s="96">
        <f t="shared" si="218"/>
        <v>0</v>
      </c>
      <c r="AO291" s="96">
        <f t="shared" si="218"/>
        <v>0</v>
      </c>
      <c r="AP291" s="65">
        <f t="shared" si="212"/>
        <v>6.03125</v>
      </c>
      <c r="AQ291" s="65"/>
      <c r="AR291" s="65"/>
      <c r="AS291" s="65"/>
      <c r="AT291" s="95">
        <f>IF(ISNUMBER(H291),H291*F291*Z291/1000*Balance!$H$13/J291,0)</f>
        <v>21.027349999999998</v>
      </c>
      <c r="AU291" s="95">
        <f>IF(ISTEXT(K291),IF(ISNUMBER(O291),O291*M291*Z291/1000*Balance!$H$13/Q291,0),AT291)</f>
        <v>21.027349999999998</v>
      </c>
      <c r="AV291" s="95">
        <f>IF(ISTEXT(R291),IF(ISNUMBER(V291),V291*T291*Z291/1000*Balance!$H$13/X291,0),AT291)</f>
        <v>21.027349999999998</v>
      </c>
      <c r="AW291" s="65"/>
      <c r="AX291" s="95">
        <f>AT291*AX285</f>
        <v>21.027349999999998</v>
      </c>
      <c r="AY291" s="95">
        <f>AU291*AY285</f>
        <v>0</v>
      </c>
      <c r="AZ291" s="95">
        <f>AV291*AZ285</f>
        <v>0</v>
      </c>
      <c r="BA291" s="95">
        <f t="shared" si="214"/>
        <v>21.027349999999998</v>
      </c>
      <c r="BB291" s="65"/>
      <c r="BC291" s="95">
        <f>IF(ISNUMBER(I291),I291*F291*Z291/1000*Balance!$H$13/J291,0)</f>
        <v>4.7960500000000001</v>
      </c>
      <c r="BD291" s="95">
        <f>IF(ISTEXT(K291),IF(ISNUMBER(P291),P291*M291*Z291/1000*Balance!$H$13/Q291,0),BC291)</f>
        <v>4.7960500000000001</v>
      </c>
      <c r="BE291" s="95">
        <f>IF(ISTEXT(R291),IF(ISNUMBER(W291),W291*T291*Z291/1000*Balance!$H$13/X291,0),BC291)</f>
        <v>4.7960500000000001</v>
      </c>
      <c r="BF291" s="65"/>
      <c r="BG291" s="95">
        <f>BC291*BG285</f>
        <v>4.7960500000000001</v>
      </c>
      <c r="BH291" s="95">
        <f>BD291*BH285</f>
        <v>0</v>
      </c>
      <c r="BI291" s="95">
        <f>BE291*BI285</f>
        <v>0</v>
      </c>
      <c r="BJ291" s="95">
        <f t="shared" si="215"/>
        <v>4.7960500000000001</v>
      </c>
      <c r="BK291" s="65"/>
      <c r="BL291" s="65"/>
      <c r="BM291" s="65"/>
    </row>
    <row r="292" spans="2:65" outlineLevel="1" x14ac:dyDescent="0.25">
      <c r="B292" s="201"/>
      <c r="C292" s="91"/>
      <c r="D292" s="418" t="s">
        <v>1027</v>
      </c>
      <c r="E292" s="419"/>
      <c r="F292" s="94">
        <v>1</v>
      </c>
      <c r="G292" s="136">
        <f>IF(ISNUMBER(VLOOKUP(LEFT(D292,3),'Material editor'!$D$11:$H$110,'Material editor'!$E$8,0)),VLOOKUP(LEFT(D292,3),'Material editor'!$D$11:$H$110,'Material editor'!$E$8,0),"")</f>
        <v>1</v>
      </c>
      <c r="H292" s="137">
        <f>IF(ISNUMBER(VLOOKUP(LEFT(D292,3),'Material editor'!$D$11:$H$110,'Material editor'!$F$8,0)),VLOOKUP(LEFT(D292,3),'Material editor'!$D$11:$H$110,'Material editor'!$F$8,0),"")</f>
        <v>905.22046069906946</v>
      </c>
      <c r="I292" s="137">
        <f>IF(ISNUMBER(VLOOKUP(LEFT(D292,3),'Material editor'!$D$11:$H$110,'Material editor'!$G$8,0)),VLOOKUP(LEFT(D292,3),'Material editor'!$D$11:$H$110,'Material editor'!$G$8,0),"")</f>
        <v>354.91241395986202</v>
      </c>
      <c r="J292" s="137">
        <f>IF(ISNUMBER(VLOOKUP(LEFT(D292,3),'Material editor'!$D$11:$H$110,'Material editor'!$H$8,0)),VLOOKUP(LEFT(D292,3),'Material editor'!$D$11:$H$110,'Material editor'!$H$8,0),"")</f>
        <v>40</v>
      </c>
      <c r="K292" s="418"/>
      <c r="L292" s="407"/>
      <c r="M292" s="94"/>
      <c r="N292" s="136" t="str">
        <f>IF(ISNUMBER(VLOOKUP(LEFT(K292,3),'Material editor'!$D$11:$H$110,'Material editor'!$E$8,0)),VLOOKUP(LEFT(K292,3),'Material editor'!$D$11:$H$110,'Material editor'!$E$8,0),"")</f>
        <v/>
      </c>
      <c r="O292" s="137" t="str">
        <f>IF(ISNUMBER(VLOOKUP(LEFT(K292,3),'Material editor'!$D$11:$H$110,'Material editor'!$F$8,0)),VLOOKUP(LEFT(K292,3),'Material editor'!$D$11:$H$110,'Material editor'!$F$8,0),"")</f>
        <v/>
      </c>
      <c r="P292" s="137" t="str">
        <f>IF(ISNUMBER(VLOOKUP(LEFT(K292,3),'Material editor'!$D$11:$H$110,'Material editor'!$G$8,0)),VLOOKUP(LEFT(K292,3),'Material editor'!$D$11:$H$110,'Material editor'!$G$8,0),"")</f>
        <v/>
      </c>
      <c r="Q292" s="137" t="str">
        <f>IF(ISNUMBER(VLOOKUP(LEFT(K292,3),'Material editor'!$D$11:$H$110,'Material editor'!$H$8,0)),VLOOKUP(LEFT(K292,3),'Material editor'!$D$11:$H$110,'Material editor'!$H$8,0),"")</f>
        <v/>
      </c>
      <c r="R292" s="418"/>
      <c r="S292" s="407"/>
      <c r="T292" s="94"/>
      <c r="U292" s="136" t="str">
        <f>IF(ISNUMBER(VLOOKUP(LEFT(R292,3),'Material editor'!$D$11:$H$110,'Material editor'!$E$8,0)),VLOOKUP(LEFT(R292,3),'Material editor'!$D$11:$H$110,'Material editor'!$E$8,0),"")</f>
        <v/>
      </c>
      <c r="V292" s="137" t="str">
        <f>IF(ISNUMBER(VLOOKUP(LEFT(R292,3),'Material editor'!$D$11:$H$110,'Material editor'!$F$8,0)),VLOOKUP(LEFT(R292,3),'Material editor'!$D$11:$H$110,'Material editor'!$F$8,0),"")</f>
        <v/>
      </c>
      <c r="W292" s="137" t="str">
        <f>IF(ISNUMBER(VLOOKUP(LEFT(R292,3),'Material editor'!$D$11:$H$110,'Material editor'!$G$8,0)),VLOOKUP(LEFT(R292,3),'Material editor'!$D$11:$H$110,'Material editor'!$G$8,0),"")</f>
        <v/>
      </c>
      <c r="X292" s="137" t="str">
        <f>IF(ISNUMBER(VLOOKUP(LEFT(R292,3),'Material editor'!$D$11:$H$110,'Material editor'!$H$8,0)),VLOOKUP(LEFT(R292,3),'Material editor'!$D$11:$H$110,'Material editor'!$H$8,0),"")</f>
        <v/>
      </c>
      <c r="Y292" s="74"/>
      <c r="Z292" s="94">
        <v>20</v>
      </c>
      <c r="AA292" s="8"/>
      <c r="AB292" s="61"/>
      <c r="AC292" s="65"/>
      <c r="AD292" s="65"/>
      <c r="AE292" s="95">
        <f t="shared" si="206"/>
        <v>0.02</v>
      </c>
      <c r="AF292" s="95">
        <f t="shared" si="207"/>
        <v>0.02</v>
      </c>
      <c r="AG292" s="95">
        <f t="shared" si="208"/>
        <v>0.02</v>
      </c>
      <c r="AH292" s="65"/>
      <c r="AI292" s="95">
        <f t="shared" si="209"/>
        <v>1</v>
      </c>
      <c r="AJ292" s="95">
        <f t="shared" si="210"/>
        <v>1</v>
      </c>
      <c r="AK292" s="95">
        <f t="shared" si="211"/>
        <v>1</v>
      </c>
      <c r="AL292" s="65"/>
      <c r="AM292" s="96">
        <f t="shared" ref="AM292:AO292" si="219">AM291</f>
        <v>1</v>
      </c>
      <c r="AN292" s="96">
        <f t="shared" si="219"/>
        <v>0</v>
      </c>
      <c r="AO292" s="96">
        <f t="shared" si="219"/>
        <v>0</v>
      </c>
      <c r="AP292" s="65">
        <f t="shared" si="212"/>
        <v>0.02</v>
      </c>
      <c r="AQ292" s="65"/>
      <c r="AR292" s="65"/>
      <c r="AS292" s="66"/>
      <c r="AT292" s="95">
        <f>IF(ISNUMBER(H292),H292*F292*Z292/1000*Balance!$H$13/J292,0)</f>
        <v>9.0522046069906938</v>
      </c>
      <c r="AU292" s="95">
        <f>IF(ISTEXT(K292),IF(ISNUMBER(O292),O292*M292*Z292/1000*Balance!$H$13/Q292,0),AT292)</f>
        <v>9.0522046069906938</v>
      </c>
      <c r="AV292" s="95">
        <f>IF(ISTEXT(R292),IF(ISNUMBER(V292),V292*T292*Z292/1000*Balance!$H$13/X292,0),AT292)</f>
        <v>9.0522046069906938</v>
      </c>
      <c r="AW292" s="66"/>
      <c r="AX292" s="95">
        <f>AT292*AX285</f>
        <v>9.0522046069906938</v>
      </c>
      <c r="AY292" s="95">
        <f>AU292*AY285</f>
        <v>0</v>
      </c>
      <c r="AZ292" s="95">
        <f>AV292*AZ285</f>
        <v>0</v>
      </c>
      <c r="BA292" s="95">
        <f t="shared" si="214"/>
        <v>9.0522046069906938</v>
      </c>
      <c r="BB292" s="66"/>
      <c r="BC292" s="95">
        <f>IF(ISNUMBER(I292),I292*F292*Z292/1000*Balance!$H$13/J292,0)</f>
        <v>3.5491241395986202</v>
      </c>
      <c r="BD292" s="95">
        <f>IF(ISTEXT(K292),IF(ISNUMBER(P292),P292*M292*Z292/1000*Balance!$H$13/Q292,0),BC292)</f>
        <v>3.5491241395986202</v>
      </c>
      <c r="BE292" s="95">
        <f>IF(ISTEXT(R292),IF(ISNUMBER(W292),W292*T292*Z292/1000*Balance!$H$13/X292,0),BC292)</f>
        <v>3.5491241395986202</v>
      </c>
      <c r="BF292" s="66"/>
      <c r="BG292" s="95">
        <f>BC292*BG285</f>
        <v>3.5491241395986202</v>
      </c>
      <c r="BH292" s="95">
        <f>BD292*BH285</f>
        <v>0</v>
      </c>
      <c r="BI292" s="95">
        <f>BE292*BI285</f>
        <v>0</v>
      </c>
      <c r="BJ292" s="95">
        <f t="shared" si="215"/>
        <v>3.5491241395986202</v>
      </c>
      <c r="BK292" s="66"/>
      <c r="BL292" s="66"/>
      <c r="BM292" s="66"/>
    </row>
    <row r="293" spans="2:65" outlineLevel="1" x14ac:dyDescent="0.25">
      <c r="B293" s="201"/>
      <c r="C293" s="91"/>
      <c r="D293" s="418"/>
      <c r="E293" s="407"/>
      <c r="F293" s="94"/>
      <c r="G293" s="136" t="str">
        <f>IF(ISNUMBER(VLOOKUP(LEFT(D293,3),'Material editor'!$D$11:$H$110,'Material editor'!$E$8,0)),VLOOKUP(LEFT(D293,3),'Material editor'!$D$11:$H$110,'Material editor'!$E$8,0),"")</f>
        <v/>
      </c>
      <c r="H293" s="137" t="str">
        <f>IF(ISNUMBER(VLOOKUP(LEFT(D293,3),'Material editor'!$D$11:$H$110,'Material editor'!$F$8,0)),VLOOKUP(LEFT(D293,3),'Material editor'!$D$11:$H$110,'Material editor'!$F$8,0),"")</f>
        <v/>
      </c>
      <c r="I293" s="137" t="str">
        <f>IF(ISNUMBER(VLOOKUP(LEFT(D293,3),'Material editor'!$D$11:$H$110,'Material editor'!$G$8,0)),VLOOKUP(LEFT(D293,3),'Material editor'!$D$11:$H$110,'Material editor'!$G$8,0),"")</f>
        <v/>
      </c>
      <c r="J293" s="137" t="str">
        <f>IF(ISNUMBER(VLOOKUP(LEFT(D293,3),'Material editor'!$D$11:$H$110,'Material editor'!$H$8,0)),VLOOKUP(LEFT(D293,3),'Material editor'!$D$11:$H$110,'Material editor'!$H$8,0),"")</f>
        <v/>
      </c>
      <c r="K293" s="418"/>
      <c r="L293" s="407"/>
      <c r="M293" s="94"/>
      <c r="N293" s="136" t="str">
        <f>IF(ISNUMBER(VLOOKUP(LEFT(K293,3),'Material editor'!$D$11:$H$110,'Material editor'!$E$8,0)),VLOOKUP(LEFT(K293,3),'Material editor'!$D$11:$H$110,'Material editor'!$E$8,0),"")</f>
        <v/>
      </c>
      <c r="O293" s="137" t="str">
        <f>IF(ISNUMBER(VLOOKUP(LEFT(K293,3),'Material editor'!$D$11:$H$110,'Material editor'!$F$8,0)),VLOOKUP(LEFT(K293,3),'Material editor'!$D$11:$H$110,'Material editor'!$F$8,0),"")</f>
        <v/>
      </c>
      <c r="P293" s="137" t="str">
        <f>IF(ISNUMBER(VLOOKUP(LEFT(K293,3),'Material editor'!$D$11:$H$110,'Material editor'!$G$8,0)),VLOOKUP(LEFT(K293,3),'Material editor'!$D$11:$H$110,'Material editor'!$G$8,0),"")</f>
        <v/>
      </c>
      <c r="Q293" s="137" t="str">
        <f>IF(ISNUMBER(VLOOKUP(LEFT(K293,3),'Material editor'!$D$11:$H$110,'Material editor'!$H$8,0)),VLOOKUP(LEFT(K293,3),'Material editor'!$D$11:$H$110,'Material editor'!$H$8,0),"")</f>
        <v/>
      </c>
      <c r="R293" s="418"/>
      <c r="S293" s="407"/>
      <c r="T293" s="94"/>
      <c r="U293" s="136" t="str">
        <f>IF(ISNUMBER(VLOOKUP(LEFT(R293,3),'Material editor'!$D$11:$H$110,'Material editor'!$E$8,0)),VLOOKUP(LEFT(R293,3),'Material editor'!$D$11:$H$110,'Material editor'!$E$8,0),"")</f>
        <v/>
      </c>
      <c r="V293" s="137" t="str">
        <f>IF(ISNUMBER(VLOOKUP(LEFT(R293,3),'Material editor'!$D$11:$H$110,'Material editor'!$F$8,0)),VLOOKUP(LEFT(R293,3),'Material editor'!$D$11:$H$110,'Material editor'!$F$8,0),"")</f>
        <v/>
      </c>
      <c r="W293" s="137" t="str">
        <f>IF(ISNUMBER(VLOOKUP(LEFT(R293,3),'Material editor'!$D$11:$H$110,'Material editor'!$G$8,0)),VLOOKUP(LEFT(R293,3),'Material editor'!$D$11:$H$110,'Material editor'!$G$8,0),"")</f>
        <v/>
      </c>
      <c r="X293" s="137" t="str">
        <f>IF(ISNUMBER(VLOOKUP(LEFT(R293,3),'Material editor'!$D$11:$H$110,'Material editor'!$H$8,0)),VLOOKUP(LEFT(R293,3),'Material editor'!$D$11:$H$110,'Material editor'!$H$8,0),"")</f>
        <v/>
      </c>
      <c r="Y293" s="74"/>
      <c r="Z293" s="94"/>
      <c r="AA293" s="8"/>
      <c r="AB293" s="61"/>
      <c r="AC293" s="65"/>
      <c r="AD293" s="65"/>
      <c r="AE293" s="95">
        <f t="shared" si="206"/>
        <v>0</v>
      </c>
      <c r="AF293" s="95">
        <f t="shared" si="207"/>
        <v>0</v>
      </c>
      <c r="AG293" s="95">
        <f t="shared" si="208"/>
        <v>0</v>
      </c>
      <c r="AH293" s="65"/>
      <c r="AI293" s="95">
        <f t="shared" si="209"/>
        <v>0</v>
      </c>
      <c r="AJ293" s="95">
        <f t="shared" si="210"/>
        <v>0</v>
      </c>
      <c r="AK293" s="95">
        <f t="shared" si="211"/>
        <v>0</v>
      </c>
      <c r="AL293" s="65"/>
      <c r="AM293" s="96">
        <f t="shared" ref="AM293:AO293" si="220">AM292</f>
        <v>1</v>
      </c>
      <c r="AN293" s="96">
        <f t="shared" si="220"/>
        <v>0</v>
      </c>
      <c r="AO293" s="96">
        <f t="shared" si="220"/>
        <v>0</v>
      </c>
      <c r="AP293" s="65">
        <f t="shared" si="212"/>
        <v>0</v>
      </c>
      <c r="AQ293" s="65"/>
      <c r="AR293" s="65"/>
      <c r="AS293" s="66"/>
      <c r="AT293" s="95">
        <f>IF(ISNUMBER(H293),H293*F293*Z293/1000*Balance!$H$13/J293,0)</f>
        <v>0</v>
      </c>
      <c r="AU293" s="95">
        <f>IF(ISTEXT(K293),IF(ISNUMBER(O293),O293*M293*Z293/1000*Balance!$H$13/Q293,0),AT293)</f>
        <v>0</v>
      </c>
      <c r="AV293" s="95">
        <f>IF(ISTEXT(R293),IF(ISNUMBER(V293),V293*T293*Z293/1000*Balance!$H$13/X293,0),AT293)</f>
        <v>0</v>
      </c>
      <c r="AW293" s="66"/>
      <c r="AX293" s="95">
        <f>AT293*AX285</f>
        <v>0</v>
      </c>
      <c r="AY293" s="95">
        <f>AU293*AY285</f>
        <v>0</v>
      </c>
      <c r="AZ293" s="95">
        <f>AV293*AZ285</f>
        <v>0</v>
      </c>
      <c r="BA293" s="95">
        <f t="shared" si="214"/>
        <v>0</v>
      </c>
      <c r="BB293" s="66"/>
      <c r="BC293" s="95">
        <f>IF(ISNUMBER(I293),I293*F293*Z293/1000*Balance!$H$13/J293,0)</f>
        <v>0</v>
      </c>
      <c r="BD293" s="95">
        <f>IF(ISTEXT(K293),IF(ISNUMBER(P293),P293*M293*Z293/1000*Balance!$H$13/Q293,0),BC293)</f>
        <v>0</v>
      </c>
      <c r="BE293" s="95">
        <f>IF(ISTEXT(R293),IF(ISNUMBER(W293),W293*T293*Z293/1000*Balance!$H$13/X293,0),BC293)</f>
        <v>0</v>
      </c>
      <c r="BF293" s="66"/>
      <c r="BG293" s="95">
        <f>BC293*BG285</f>
        <v>0</v>
      </c>
      <c r="BH293" s="95">
        <f>BD293*BH285</f>
        <v>0</v>
      </c>
      <c r="BI293" s="95">
        <f>BE293*BI285</f>
        <v>0</v>
      </c>
      <c r="BJ293" s="95">
        <f t="shared" si="215"/>
        <v>0</v>
      </c>
      <c r="BK293" s="66"/>
      <c r="BL293" s="66"/>
      <c r="BM293" s="66"/>
    </row>
    <row r="294" spans="2:65" outlineLevel="1" x14ac:dyDescent="0.25">
      <c r="B294" s="201"/>
      <c r="C294" s="91"/>
      <c r="D294" s="418"/>
      <c r="E294" s="407"/>
      <c r="F294" s="94"/>
      <c r="G294" s="136" t="str">
        <f>IF(ISNUMBER(VLOOKUP(LEFT(D294,3),'Material editor'!$D$11:$H$110,'Material editor'!$E$8,0)),VLOOKUP(LEFT(D294,3),'Material editor'!$D$11:$H$110,'Material editor'!$E$8,0),"")</f>
        <v/>
      </c>
      <c r="H294" s="137" t="str">
        <f>IF(ISNUMBER(VLOOKUP(LEFT(D294,3),'Material editor'!$D$11:$H$110,'Material editor'!$F$8,0)),VLOOKUP(LEFT(D294,3),'Material editor'!$D$11:$H$110,'Material editor'!$F$8,0),"")</f>
        <v/>
      </c>
      <c r="I294" s="137" t="str">
        <f>IF(ISNUMBER(VLOOKUP(LEFT(D294,3),'Material editor'!$D$11:$H$110,'Material editor'!$G$8,0)),VLOOKUP(LEFT(D294,3),'Material editor'!$D$11:$H$110,'Material editor'!$G$8,0),"")</f>
        <v/>
      </c>
      <c r="J294" s="137" t="str">
        <f>IF(ISNUMBER(VLOOKUP(LEFT(D294,3),'Material editor'!$D$11:$H$110,'Material editor'!$H$8,0)),VLOOKUP(LEFT(D294,3),'Material editor'!$D$11:$H$110,'Material editor'!$H$8,0),"")</f>
        <v/>
      </c>
      <c r="K294" s="418"/>
      <c r="L294" s="407"/>
      <c r="M294" s="94"/>
      <c r="N294" s="136" t="str">
        <f>IF(ISNUMBER(VLOOKUP(LEFT(K294,3),'Material editor'!$D$11:$H$110,'Material editor'!$E$8,0)),VLOOKUP(LEFT(K294,3),'Material editor'!$D$11:$H$110,'Material editor'!$E$8,0),"")</f>
        <v/>
      </c>
      <c r="O294" s="137" t="str">
        <f>IF(ISNUMBER(VLOOKUP(LEFT(K294,3),'Material editor'!$D$11:$H$110,'Material editor'!$F$8,0)),VLOOKUP(LEFT(K294,3),'Material editor'!$D$11:$H$110,'Material editor'!$F$8,0),"")</f>
        <v/>
      </c>
      <c r="P294" s="137" t="str">
        <f>IF(ISNUMBER(VLOOKUP(LEFT(K294,3),'Material editor'!$D$11:$H$110,'Material editor'!$G$8,0)),VLOOKUP(LEFT(K294,3),'Material editor'!$D$11:$H$110,'Material editor'!$G$8,0),"")</f>
        <v/>
      </c>
      <c r="Q294" s="137" t="str">
        <f>IF(ISNUMBER(VLOOKUP(LEFT(K294,3),'Material editor'!$D$11:$H$110,'Material editor'!$H$8,0)),VLOOKUP(LEFT(K294,3),'Material editor'!$D$11:$H$110,'Material editor'!$H$8,0),"")</f>
        <v/>
      </c>
      <c r="R294" s="418"/>
      <c r="S294" s="407"/>
      <c r="T294" s="94"/>
      <c r="U294" s="136" t="str">
        <f>IF(ISNUMBER(VLOOKUP(LEFT(R294,3),'Material editor'!$D$11:$H$110,'Material editor'!$E$8,0)),VLOOKUP(LEFT(R294,3),'Material editor'!$D$11:$H$110,'Material editor'!$E$8,0),"")</f>
        <v/>
      </c>
      <c r="V294" s="137" t="str">
        <f>IF(ISNUMBER(VLOOKUP(LEFT(R294,3),'Material editor'!$D$11:$H$110,'Material editor'!$F$8,0)),VLOOKUP(LEFT(R294,3),'Material editor'!$D$11:$H$110,'Material editor'!$F$8,0),"")</f>
        <v/>
      </c>
      <c r="W294" s="137" t="str">
        <f>IF(ISNUMBER(VLOOKUP(LEFT(R294,3),'Material editor'!$D$11:$H$110,'Material editor'!$G$8,0)),VLOOKUP(LEFT(R294,3),'Material editor'!$D$11:$H$110,'Material editor'!$G$8,0),"")</f>
        <v/>
      </c>
      <c r="X294" s="137" t="str">
        <f>IF(ISNUMBER(VLOOKUP(LEFT(R294,3),'Material editor'!$D$11:$H$110,'Material editor'!$H$8,0)),VLOOKUP(LEFT(R294,3),'Material editor'!$D$11:$H$110,'Material editor'!$H$8,0),"")</f>
        <v/>
      </c>
      <c r="Y294" s="74"/>
      <c r="Z294" s="94"/>
      <c r="AA294" s="8"/>
      <c r="AB294" s="61"/>
      <c r="AC294" s="65"/>
      <c r="AD294" s="65"/>
      <c r="AE294" s="95">
        <f t="shared" si="206"/>
        <v>0</v>
      </c>
      <c r="AF294" s="95">
        <f t="shared" si="207"/>
        <v>0</v>
      </c>
      <c r="AG294" s="95">
        <f t="shared" si="208"/>
        <v>0</v>
      </c>
      <c r="AH294" s="65"/>
      <c r="AI294" s="95">
        <f>IF(ISNUMBER(G294),G294,0)</f>
        <v>0</v>
      </c>
      <c r="AJ294" s="95">
        <f t="shared" si="210"/>
        <v>0</v>
      </c>
      <c r="AK294" s="95">
        <f t="shared" si="211"/>
        <v>0</v>
      </c>
      <c r="AL294" s="65"/>
      <c r="AM294" s="96">
        <f t="shared" ref="AM294:AO294" si="221">AM293</f>
        <v>1</v>
      </c>
      <c r="AN294" s="96">
        <f t="shared" si="221"/>
        <v>0</v>
      </c>
      <c r="AO294" s="96">
        <f t="shared" si="221"/>
        <v>0</v>
      </c>
      <c r="AP294" s="65">
        <f t="shared" si="212"/>
        <v>0</v>
      </c>
      <c r="AQ294" s="65"/>
      <c r="AR294" s="65"/>
      <c r="AS294" s="66"/>
      <c r="AT294" s="95">
        <f>IF(ISNUMBER(H294),H294*F294*Z294/1000*Balance!$H$13/J294,0)</f>
        <v>0</v>
      </c>
      <c r="AU294" s="95">
        <f>IF(ISTEXT(K294),IF(ISNUMBER(O294),O294*M294*Z294/1000*Balance!$H$13/Q294,0),AT294)</f>
        <v>0</v>
      </c>
      <c r="AV294" s="95">
        <f>IF(ISTEXT(R294),IF(ISNUMBER(V294),V294*T294*Z294/1000*Balance!$H$13/X294,0),AT294)</f>
        <v>0</v>
      </c>
      <c r="AW294" s="66"/>
      <c r="AX294" s="95">
        <f>AT294*AX285</f>
        <v>0</v>
      </c>
      <c r="AY294" s="95">
        <f>AU294*AY285</f>
        <v>0</v>
      </c>
      <c r="AZ294" s="95">
        <f>AV294*AZ285</f>
        <v>0</v>
      </c>
      <c r="BA294" s="95">
        <f t="shared" si="214"/>
        <v>0</v>
      </c>
      <c r="BB294" s="66"/>
      <c r="BC294" s="95">
        <f>IF(ISNUMBER(I294),I294*F294*Z294/1000*Balance!$H$13/J294,0)</f>
        <v>0</v>
      </c>
      <c r="BD294" s="95">
        <f>IF(ISTEXT(K294),IF(ISNUMBER(P294),P294*M294*Z294/1000*Balance!$H$13/Q294,0),BC294)</f>
        <v>0</v>
      </c>
      <c r="BE294" s="95">
        <f>IF(ISTEXT(R294),IF(ISNUMBER(W294),W294*T294*Z294/1000*Balance!$H$13/X294,0),BC294)</f>
        <v>0</v>
      </c>
      <c r="BF294" s="66"/>
      <c r="BG294" s="95">
        <f>BC294*BG285</f>
        <v>0</v>
      </c>
      <c r="BH294" s="95">
        <f>BD294*BH285</f>
        <v>0</v>
      </c>
      <c r="BI294" s="95">
        <f>BE294*BI285</f>
        <v>0</v>
      </c>
      <c r="BJ294" s="95">
        <f t="shared" si="215"/>
        <v>0</v>
      </c>
      <c r="BK294" s="66"/>
      <c r="BL294" s="66"/>
      <c r="BM294" s="66"/>
    </row>
    <row r="295" spans="2:65" outlineLevel="1" x14ac:dyDescent="0.25">
      <c r="B295" s="201"/>
      <c r="C295" s="77"/>
      <c r="D295" s="125">
        <f>MAX(0,1-K295-R295)</f>
        <v>1</v>
      </c>
      <c r="E295" s="126" t="s">
        <v>141</v>
      </c>
      <c r="F295" s="126"/>
      <c r="H295" s="97"/>
      <c r="I295" s="97"/>
      <c r="J295" s="97"/>
      <c r="K295" s="100"/>
      <c r="L295" s="126" t="s">
        <v>138</v>
      </c>
      <c r="M295" s="126"/>
      <c r="R295" s="100"/>
      <c r="S295" s="126" t="s">
        <v>139</v>
      </c>
      <c r="T295" s="126"/>
      <c r="V295" s="67"/>
      <c r="Y295" s="74"/>
      <c r="Z295" s="5" t="s">
        <v>140</v>
      </c>
      <c r="AA295" s="8"/>
      <c r="AB295" s="61"/>
      <c r="AC295" s="98"/>
      <c r="AD295" s="98" t="s">
        <v>124</v>
      </c>
      <c r="AE295" s="99">
        <f>IF(ISNUMBER($G287),1/($D282+SUM(AE287:AE294)+$D283),0)</f>
        <v>0.14804414300359242</v>
      </c>
      <c r="AF295" s="99">
        <f>IF(ISNUMBER($G287),1/($D282+SUM(AF287:AF294)+$D283),0)</f>
        <v>0.14804414300359242</v>
      </c>
      <c r="AG295" s="99">
        <f>IF(ISNUMBER($G287),1/($D282+SUM(AG287:AG294)+$D283),0)</f>
        <v>0.14804414300359242</v>
      </c>
      <c r="AH295" s="65"/>
      <c r="AI295" s="65"/>
      <c r="AJ295" s="65"/>
      <c r="AK295" s="65"/>
      <c r="AL295" s="65"/>
      <c r="AM295" s="65"/>
      <c r="AN295" s="65"/>
      <c r="AO295" s="65"/>
      <c r="AP295" s="65"/>
      <c r="AQ295" s="65"/>
      <c r="AR295" s="65"/>
      <c r="AS295" s="66"/>
      <c r="AT295" s="66"/>
      <c r="AU295" s="66"/>
      <c r="AV295" s="66"/>
      <c r="AW295" s="66"/>
      <c r="AX295" s="66"/>
      <c r="AY295" s="66"/>
      <c r="AZ295" s="66"/>
      <c r="BA295" s="66"/>
      <c r="BB295" s="66"/>
      <c r="BC295" s="66"/>
      <c r="BD295" s="66"/>
      <c r="BE295" s="66"/>
      <c r="BF295" s="66"/>
      <c r="BG295" s="66"/>
      <c r="BH295" s="66"/>
      <c r="BI295" s="66"/>
      <c r="BJ295" s="66"/>
      <c r="BK295" s="66"/>
      <c r="BL295" s="66"/>
      <c r="BM295" s="66"/>
    </row>
    <row r="296" spans="2:65" outlineLevel="1" x14ac:dyDescent="0.25">
      <c r="B296" s="201"/>
      <c r="C296" s="77"/>
      <c r="D296" s="41"/>
      <c r="E296" s="116" t="s">
        <v>150</v>
      </c>
      <c r="F296" s="116"/>
      <c r="H296" s="68"/>
      <c r="I296" s="68"/>
      <c r="J296" s="68"/>
      <c r="K296" s="157" t="str">
        <f>IF(AE302&lt;=0.1,"","Der Fehler der U-Wert-Berechnung liegt möglicherweise über 10 %. Wärmebrückenberechnung?")</f>
        <v/>
      </c>
      <c r="L296" s="68"/>
      <c r="M296" s="68"/>
      <c r="N296" s="68"/>
      <c r="R296" s="5"/>
      <c r="S296" s="5"/>
      <c r="T296" s="5"/>
      <c r="U296" s="68"/>
      <c r="V296" s="68"/>
      <c r="X296" s="68"/>
      <c r="Y296" s="5"/>
      <c r="Z296" s="189">
        <f>IF(ISNUMBER(Z287),SUM(Z287:Z295)/10,"")</f>
        <v>49.2</v>
      </c>
      <c r="AA296" s="10" t="s">
        <v>8</v>
      </c>
      <c r="AB296" s="61"/>
      <c r="AC296" s="98"/>
      <c r="AD296" s="98" t="s">
        <v>125</v>
      </c>
      <c r="AE296" s="101">
        <f>1-SUM(AF296:AG296)</f>
        <v>1</v>
      </c>
      <c r="AF296" s="102">
        <f>K295</f>
        <v>0</v>
      </c>
      <c r="AG296" s="102">
        <f>R295</f>
        <v>0</v>
      </c>
      <c r="AH296" s="98"/>
      <c r="AI296" s="65"/>
      <c r="AJ296" s="65"/>
      <c r="AK296" s="65"/>
      <c r="AL296" s="65"/>
      <c r="AM296" s="65"/>
      <c r="AN296" s="65"/>
      <c r="AO296" s="65"/>
      <c r="AP296" s="65"/>
      <c r="AQ296" s="65"/>
      <c r="AR296" s="65" t="s">
        <v>393</v>
      </c>
      <c r="AS296" s="148"/>
      <c r="AT296" s="175" t="s">
        <v>393</v>
      </c>
      <c r="AU296" s="65" t="s">
        <v>366</v>
      </c>
      <c r="AV296" s="65" t="s">
        <v>355</v>
      </c>
      <c r="AW296" s="66"/>
      <c r="AX296" s="65" t="s">
        <v>394</v>
      </c>
      <c r="AY296" s="65" t="s">
        <v>356</v>
      </c>
      <c r="AZ296" s="66"/>
      <c r="BA296" s="66"/>
      <c r="BB296" s="66"/>
      <c r="BC296" s="66"/>
      <c r="BD296" s="66"/>
      <c r="BE296" s="66"/>
      <c r="BF296" s="66"/>
      <c r="BG296" s="66"/>
      <c r="BH296" s="66"/>
      <c r="BI296" s="66"/>
      <c r="BJ296" s="66"/>
      <c r="BK296" s="66"/>
      <c r="BL296" s="66"/>
      <c r="BM296" s="66"/>
    </row>
    <row r="297" spans="2:65" outlineLevel="1" x14ac:dyDescent="0.25">
      <c r="B297" s="201"/>
      <c r="C297" s="77"/>
      <c r="D297" s="68"/>
      <c r="E297" s="68"/>
      <c r="F297" s="68"/>
      <c r="G297" s="68"/>
      <c r="H297" s="68"/>
      <c r="I297" s="68"/>
      <c r="J297" s="68"/>
      <c r="K297" s="68"/>
      <c r="L297" s="68"/>
      <c r="M297" s="68"/>
      <c r="N297" s="68"/>
      <c r="O297" s="68"/>
      <c r="P297" s="68"/>
      <c r="Q297" s="68"/>
      <c r="R297" s="68"/>
      <c r="T297" s="68"/>
      <c r="U297" s="68"/>
      <c r="V297" s="68"/>
      <c r="W297" s="68"/>
      <c r="X297" s="68"/>
      <c r="Y297" s="5"/>
      <c r="Z297" s="67"/>
      <c r="AA297" s="8"/>
      <c r="AB297" s="61"/>
      <c r="AC297" s="101"/>
      <c r="AD297" s="101"/>
      <c r="AE297" s="99"/>
      <c r="AF297" s="99"/>
      <c r="AG297" s="99"/>
      <c r="AH297" s="65"/>
      <c r="AI297" s="65"/>
      <c r="AJ297" s="65"/>
      <c r="AK297" s="65"/>
      <c r="AL297" s="65"/>
      <c r="AM297" s="65"/>
      <c r="AN297" s="65"/>
      <c r="AO297" s="65"/>
      <c r="AP297" s="65"/>
      <c r="AQ297" s="65"/>
      <c r="AR297" s="65"/>
      <c r="AS297" s="65"/>
      <c r="AT297" s="101" t="s">
        <v>367</v>
      </c>
      <c r="AU297" s="176">
        <f>Z298*F282*Balance!$H$6</f>
        <v>11.695487297283801</v>
      </c>
      <c r="AV297" s="176">
        <f>AU297*Balance!$H$13</f>
        <v>233.90974594567604</v>
      </c>
      <c r="AW297" s="66"/>
      <c r="AX297" s="66"/>
      <c r="AY297" s="66"/>
      <c r="AZ297" s="66"/>
      <c r="BA297" s="101" t="s">
        <v>351</v>
      </c>
      <c r="BB297" s="66"/>
      <c r="BC297" s="66"/>
      <c r="BD297" s="66"/>
      <c r="BE297" s="66"/>
      <c r="BF297" s="66"/>
      <c r="BG297" s="66"/>
      <c r="BH297" s="66"/>
      <c r="BI297" s="66"/>
      <c r="BJ297" s="66"/>
      <c r="BK297" s="66"/>
      <c r="BL297" s="66"/>
      <c r="BM297" s="66"/>
    </row>
    <row r="298" spans="2:65" ht="18" outlineLevel="1" x14ac:dyDescent="0.35">
      <c r="B298" s="201"/>
      <c r="C298" s="77"/>
      <c r="H298" s="68"/>
      <c r="I298" s="68"/>
      <c r="J298" s="67"/>
      <c r="K298" s="192" t="s">
        <v>397</v>
      </c>
      <c r="L298" s="67"/>
      <c r="M298" s="67"/>
      <c r="N298" s="67"/>
      <c r="O298" s="67"/>
      <c r="P298" s="67"/>
      <c r="Q298" s="67"/>
      <c r="R298" s="14" t="s">
        <v>398</v>
      </c>
      <c r="U298" s="68"/>
      <c r="V298" s="68"/>
      <c r="W298" s="68"/>
      <c r="X298" s="68"/>
      <c r="Y298" s="127" t="s">
        <v>154</v>
      </c>
      <c r="Z298" s="193">
        <f>IF(ISNUMBER(G287),IF(AE302&lt;0.1,1/AE298,1/(AP298*1.1))+D296,"")</f>
        <v>0.14804414300359242</v>
      </c>
      <c r="AA298" s="8" t="s">
        <v>10</v>
      </c>
      <c r="AB298" s="61"/>
      <c r="AC298" s="101"/>
      <c r="AD298" s="101" t="s">
        <v>126</v>
      </c>
      <c r="AE298" s="95">
        <f>IF(ISNUMBER(G287),AVERAGE(AG298,AP298),0)</f>
        <v>6.7547420634920634</v>
      </c>
      <c r="AF298" s="101" t="s">
        <v>127</v>
      </c>
      <c r="AG298" s="95">
        <f>IF(ISNUMBER(G287),1/SUMPRODUCT(AE296:AG296,AE295:AG295),0)</f>
        <v>6.7547420634920634</v>
      </c>
      <c r="AH298" s="65"/>
      <c r="AI298" s="65"/>
      <c r="AJ298" s="65"/>
      <c r="AK298" s="65"/>
      <c r="AL298" s="103"/>
      <c r="AM298" s="65"/>
      <c r="AN298" s="65"/>
      <c r="AO298" s="101" t="s">
        <v>128</v>
      </c>
      <c r="AP298" s="95">
        <f>$D282+SUM(AP287:AP294)+$D283</f>
        <v>6.7547420634920634</v>
      </c>
      <c r="AQ298" s="65"/>
      <c r="AR298" s="65"/>
      <c r="AS298" s="152" t="str">
        <f>Data!$D$4</f>
        <v>Heat pump</v>
      </c>
      <c r="AT298" s="177" t="s">
        <v>374</v>
      </c>
      <c r="AU298" s="179">
        <f>AU297/(Balance!$H$17*Balance!$H$18*Balance!$H$19)*Balance!$H$22</f>
        <v>7.7969915315225347</v>
      </c>
      <c r="AV298" s="176">
        <f>AU298*Balance!$H$13</f>
        <v>155.9398306304507</v>
      </c>
      <c r="AW298" s="66"/>
      <c r="AX298" s="186">
        <f ca="1">AU297/(Balance!$H$17*Balance!$H$18*Balance!$H$19)*Balance!$G$22/1000</f>
        <v>1.4727650670653676</v>
      </c>
      <c r="AY298" s="176">
        <f ca="1">AX298*Balance!$H$13</f>
        <v>29.455301341307351</v>
      </c>
      <c r="AZ298" s="101"/>
      <c r="BA298" s="95">
        <f>SUM(BA287:BA294)</f>
        <v>31.072018831012578</v>
      </c>
      <c r="BB298" s="66" t="s">
        <v>355</v>
      </c>
      <c r="BC298" s="66"/>
      <c r="BD298" s="66"/>
      <c r="BE298" s="66"/>
      <c r="BF298" s="66"/>
      <c r="BG298" s="66"/>
      <c r="BH298" s="66"/>
      <c r="BI298" s="101" t="s">
        <v>149</v>
      </c>
      <c r="BJ298" s="95">
        <f>SUM(BJ287:BJ294)</f>
        <v>8.553071801125828</v>
      </c>
      <c r="BK298" s="66" t="s">
        <v>357</v>
      </c>
      <c r="BL298" s="66"/>
      <c r="BM298" s="66"/>
    </row>
    <row r="299" spans="2:65" ht="15.75" outlineLevel="1" x14ac:dyDescent="0.25">
      <c r="B299" s="201"/>
      <c r="C299" s="77"/>
      <c r="D299" s="155"/>
      <c r="E299" s="188" t="s">
        <v>395</v>
      </c>
      <c r="F299" s="116"/>
      <c r="H299" s="68"/>
      <c r="I299" s="68"/>
      <c r="J299" s="67"/>
      <c r="K299" s="190">
        <f>BA298</f>
        <v>31.072018831012578</v>
      </c>
      <c r="L299" s="128" t="s">
        <v>400</v>
      </c>
      <c r="M299" s="67"/>
      <c r="N299" s="67"/>
      <c r="O299" s="67"/>
      <c r="P299" s="67"/>
      <c r="Q299" s="67"/>
      <c r="R299" s="190">
        <f>BJ298</f>
        <v>8.553071801125828</v>
      </c>
      <c r="S299" s="128" t="s">
        <v>399</v>
      </c>
      <c r="U299" s="68"/>
      <c r="V299" s="68"/>
      <c r="W299" s="68"/>
      <c r="X299" s="68"/>
      <c r="Y299" s="67"/>
      <c r="Z299" s="67"/>
      <c r="AA299" s="8"/>
      <c r="AB299" s="61"/>
      <c r="AC299" s="101"/>
      <c r="AD299" s="101"/>
      <c r="AE299" s="154"/>
      <c r="AF299" s="101"/>
      <c r="AG299" s="154"/>
      <c r="AH299" s="65"/>
      <c r="AI299" s="65"/>
      <c r="AJ299" s="65"/>
      <c r="AK299" s="65"/>
      <c r="AL299" s="103"/>
      <c r="AM299" s="65"/>
      <c r="AN299" s="65"/>
      <c r="AO299" s="101"/>
      <c r="AP299" s="154"/>
      <c r="AQ299" s="65"/>
      <c r="AR299" s="65"/>
      <c r="AS299" s="152" t="str">
        <f>Data!$D$5</f>
        <v>Direct electric</v>
      </c>
      <c r="AT299" s="177" t="s">
        <v>374</v>
      </c>
      <c r="AU299" s="179">
        <f>AU297/Balance!$H$18*Balance!$H$22</f>
        <v>21.051877135110843</v>
      </c>
      <c r="AV299" s="176">
        <f>AU299*Balance!$H$13</f>
        <v>421.03754270221685</v>
      </c>
      <c r="AW299" s="66"/>
      <c r="AX299" s="186">
        <f ca="1">AU297/Balance!$H$18*Balance!$G$22/1000</f>
        <v>3.9764656810764922</v>
      </c>
      <c r="AY299" s="176">
        <f ca="1">AX299*Balance!$H$13</f>
        <v>79.529313621529838</v>
      </c>
      <c r="AZ299" s="101"/>
      <c r="BA299" s="154"/>
      <c r="BB299" s="66"/>
      <c r="BC299" s="66"/>
      <c r="BD299" s="66"/>
      <c r="BE299" s="66"/>
      <c r="BF299" s="66"/>
      <c r="BG299" s="66"/>
      <c r="BH299" s="66"/>
      <c r="BI299" s="101"/>
      <c r="BJ299" s="154"/>
      <c r="BK299" s="66"/>
      <c r="BL299" s="66"/>
      <c r="BM299" s="66"/>
    </row>
    <row r="300" spans="2:65" ht="15.75" outlineLevel="1" x14ac:dyDescent="0.25">
      <c r="B300" s="201"/>
      <c r="C300" s="77"/>
      <c r="D300" s="155"/>
      <c r="E300" s="188" t="s">
        <v>396</v>
      </c>
      <c r="F300" s="116"/>
      <c r="H300" s="68"/>
      <c r="I300" s="68"/>
      <c r="J300" s="67"/>
      <c r="K300" s="190">
        <f>AV302</f>
        <v>155.9398306304507</v>
      </c>
      <c r="L300" s="128" t="s">
        <v>401</v>
      </c>
      <c r="M300" s="67"/>
      <c r="N300" s="67"/>
      <c r="O300" s="67"/>
      <c r="P300" s="67"/>
      <c r="Q300" s="67"/>
      <c r="R300" s="190">
        <f ca="1">AY302</f>
        <v>29.455301341307351</v>
      </c>
      <c r="S300" s="128" t="s">
        <v>358</v>
      </c>
      <c r="U300" s="68"/>
      <c r="V300" s="68"/>
      <c r="W300" s="68"/>
      <c r="X300" s="68"/>
      <c r="Y300" s="67"/>
      <c r="Z300" s="67"/>
      <c r="AA300" s="8"/>
      <c r="AB300" s="61"/>
      <c r="AC300" s="101"/>
      <c r="AD300" s="101"/>
      <c r="AE300" s="154"/>
      <c r="AF300" s="101"/>
      <c r="AG300" s="154"/>
      <c r="AH300" s="65"/>
      <c r="AI300" s="65"/>
      <c r="AJ300" s="65"/>
      <c r="AK300" s="65"/>
      <c r="AL300" s="103"/>
      <c r="AM300" s="65"/>
      <c r="AN300" s="65"/>
      <c r="AO300" s="101"/>
      <c r="AP300" s="154"/>
      <c r="AQ300" s="65"/>
      <c r="AR300" s="65"/>
      <c r="AS300" s="152" t="str">
        <f>Data!$D$6</f>
        <v>Gas boiler</v>
      </c>
      <c r="AT300" s="177" t="s">
        <v>374</v>
      </c>
      <c r="AU300" s="179">
        <f>AU297/(Balance!$H$18*Balance!$H$19)*Balance!H$23</f>
        <v>22.741225300274056</v>
      </c>
      <c r="AV300" s="176">
        <f>AU300*Balance!$H$13</f>
        <v>454.82450600548111</v>
      </c>
      <c r="AW300" s="66"/>
      <c r="AX300" s="186">
        <f ca="1">AU297/(Balance!$H$18*Balance!$H$19)*Balance!$G$23/1000</f>
        <v>3.2410113608213695</v>
      </c>
      <c r="AY300" s="176">
        <f ca="1">AX300*Balance!$H$13</f>
        <v>64.820227216427384</v>
      </c>
      <c r="AZ300" s="101"/>
      <c r="BA300" s="154"/>
      <c r="BB300" s="66"/>
      <c r="BC300" s="66"/>
      <c r="BD300" s="66"/>
      <c r="BE300" s="66"/>
      <c r="BF300" s="66"/>
      <c r="BG300" s="66"/>
      <c r="BH300" s="66"/>
      <c r="BI300" s="101"/>
      <c r="BJ300" s="154"/>
      <c r="BK300" s="66"/>
      <c r="BL300" s="66"/>
      <c r="BM300" s="66"/>
    </row>
    <row r="301" spans="2:65" ht="15.75" outlineLevel="1" x14ac:dyDescent="0.25">
      <c r="B301" s="201"/>
      <c r="C301" s="77"/>
      <c r="D301" s="155"/>
      <c r="E301" s="188" t="s">
        <v>352</v>
      </c>
      <c r="F301" s="116"/>
      <c r="H301" s="68"/>
      <c r="I301" s="68"/>
      <c r="J301" s="67"/>
      <c r="K301" s="191">
        <f>K300+K299</f>
        <v>187.01184946146327</v>
      </c>
      <c r="L301" s="128" t="s">
        <v>355</v>
      </c>
      <c r="M301" s="67"/>
      <c r="N301" s="67"/>
      <c r="O301" s="67"/>
      <c r="P301" s="67"/>
      <c r="Q301" s="67"/>
      <c r="R301" s="191">
        <f ca="1">R300+R299</f>
        <v>38.008373142433179</v>
      </c>
      <c r="S301" s="128" t="s">
        <v>358</v>
      </c>
      <c r="T301" s="153"/>
      <c r="U301" s="68"/>
      <c r="V301" s="68"/>
      <c r="W301" s="68"/>
      <c r="X301" s="68"/>
      <c r="Y301" s="67"/>
      <c r="Z301" s="67"/>
      <c r="AA301" s="8"/>
      <c r="AB301" s="61"/>
      <c r="AC301" s="101"/>
      <c r="AD301" s="101"/>
      <c r="AE301" s="154"/>
      <c r="AF301" s="101"/>
      <c r="AG301" s="154"/>
      <c r="AH301" s="65"/>
      <c r="AI301" s="65"/>
      <c r="AJ301" s="65"/>
      <c r="AK301" s="65"/>
      <c r="AL301" s="103"/>
      <c r="AM301" s="65"/>
      <c r="AN301" s="65"/>
      <c r="AO301" s="101"/>
      <c r="AP301" s="154"/>
      <c r="AQ301" s="65"/>
      <c r="AR301" s="65"/>
      <c r="AS301" s="152" t="str">
        <f>Data!$D$7</f>
        <v>Biomass</v>
      </c>
      <c r="AT301" s="177" t="s">
        <v>374</v>
      </c>
      <c r="AU301" s="179">
        <f>AU297/(Balance!$H$18*Balance!$H$19)*Balance!$H$24</f>
        <v>14.294484474457979</v>
      </c>
      <c r="AV301" s="176">
        <f>AU301*Balance!$H$13</f>
        <v>285.88968948915959</v>
      </c>
      <c r="AW301" s="66"/>
      <c r="AX301" s="186">
        <f ca="1">AU297/(Balance!$H$18*Balance!$H$19)*Balance!$G$24/1000</f>
        <v>0.27614345007475638</v>
      </c>
      <c r="AY301" s="176">
        <f ca="1">AX301*Balance!$H$13</f>
        <v>5.5228690014951276</v>
      </c>
      <c r="AZ301" s="101"/>
      <c r="BA301" s="154"/>
      <c r="BB301" s="66"/>
      <c r="BC301" s="66"/>
      <c r="BD301" s="66"/>
      <c r="BE301" s="66"/>
      <c r="BF301" s="66"/>
      <c r="BG301" s="66"/>
      <c r="BH301" s="66"/>
      <c r="BI301" s="101"/>
      <c r="BJ301" s="154"/>
      <c r="BK301" s="66"/>
      <c r="BL301" s="66"/>
      <c r="BM301" s="66"/>
    </row>
    <row r="302" spans="2:65" outlineLevel="1" x14ac:dyDescent="0.25">
      <c r="B302" s="201"/>
      <c r="C302" s="104"/>
      <c r="D302" s="105"/>
      <c r="E302" s="106"/>
      <c r="F302" s="106"/>
      <c r="G302" s="106"/>
      <c r="H302" s="107"/>
      <c r="I302" s="107"/>
      <c r="J302" s="107"/>
      <c r="K302" s="106"/>
      <c r="L302" s="106"/>
      <c r="M302" s="106"/>
      <c r="N302" s="106"/>
      <c r="O302" s="106"/>
      <c r="P302" s="106"/>
      <c r="Q302" s="106"/>
      <c r="R302" s="106"/>
      <c r="S302" s="106"/>
      <c r="T302" s="106"/>
      <c r="U302" s="106"/>
      <c r="V302" s="106"/>
      <c r="W302" s="106"/>
      <c r="X302" s="106"/>
      <c r="Y302" s="106"/>
      <c r="Z302" s="108"/>
      <c r="AA302" s="109"/>
      <c r="AB302" s="61"/>
      <c r="AC302" s="101"/>
      <c r="AD302" s="101" t="s">
        <v>129</v>
      </c>
      <c r="AE302" s="110">
        <f>IF(ISNUMBER(G287),(AG298-AP298)/(2*AE298),0)</f>
        <v>0</v>
      </c>
      <c r="AF302" s="111"/>
      <c r="AG302" s="65"/>
      <c r="AH302" s="101"/>
      <c r="AI302" s="65"/>
      <c r="AJ302" s="65"/>
      <c r="AK302" s="65"/>
      <c r="AL302" s="65"/>
      <c r="AM302" s="65"/>
      <c r="AN302" s="65"/>
      <c r="AO302" s="65"/>
      <c r="AP302" s="66"/>
      <c r="AQ302" s="65"/>
      <c r="AR302" s="65"/>
      <c r="AS302" s="178" t="str">
        <f>Balance!$G$16</f>
        <v>Heat pump</v>
      </c>
      <c r="AT302" s="66"/>
      <c r="AU302" s="185">
        <f>VLOOKUP(AS302,AS298:AU301,3,0)</f>
        <v>7.7969915315225347</v>
      </c>
      <c r="AV302" s="185">
        <f>VLOOKUP(AS302,AS298:AV301,4,0)</f>
        <v>155.9398306304507</v>
      </c>
      <c r="AW302" s="185"/>
      <c r="AX302" s="187">
        <f ca="1">VLOOKUP(AS302,AS298:AX301,6,0)</f>
        <v>1.4727650670653676</v>
      </c>
      <c r="AY302" s="185">
        <f ca="1">VLOOKUP(AS302,AS298:AY301,7,0)</f>
        <v>29.455301341307351</v>
      </c>
      <c r="AZ302" s="66"/>
      <c r="BA302" s="66"/>
      <c r="BB302" s="66"/>
      <c r="BC302" s="66"/>
      <c r="BD302" s="66"/>
      <c r="BE302" s="66"/>
      <c r="BF302" s="66"/>
      <c r="BG302" s="66"/>
      <c r="BH302" s="66"/>
      <c r="BI302" s="66"/>
      <c r="BJ302" s="66"/>
      <c r="BK302" s="66"/>
      <c r="BL302" s="66"/>
      <c r="BM302" s="66"/>
    </row>
    <row r="303" spans="2:65" outlineLevel="1" x14ac:dyDescent="0.25">
      <c r="B303" s="201"/>
    </row>
    <row r="304" spans="2:65" outlineLevel="1" x14ac:dyDescent="0.25">
      <c r="B304" s="201"/>
      <c r="C304" s="62"/>
      <c r="D304" s="114" t="s">
        <v>131</v>
      </c>
      <c r="E304" s="115" t="s">
        <v>132</v>
      </c>
      <c r="F304" s="115"/>
      <c r="G304" s="63"/>
      <c r="H304" s="63"/>
      <c r="I304" s="63"/>
      <c r="J304" s="63"/>
      <c r="K304" s="63"/>
      <c r="L304" s="63"/>
      <c r="M304" s="63"/>
      <c r="N304" s="63"/>
      <c r="O304" s="63"/>
      <c r="P304" s="63"/>
      <c r="Q304" s="63"/>
      <c r="R304" s="63"/>
      <c r="S304" s="63"/>
      <c r="T304" s="63"/>
      <c r="U304" s="63"/>
      <c r="V304" s="63"/>
      <c r="W304" s="63"/>
      <c r="X304" s="63"/>
      <c r="Y304" s="63"/>
      <c r="Z304" s="63"/>
      <c r="AA304" s="64"/>
      <c r="AB304" s="61"/>
      <c r="AC304" s="65" t="s">
        <v>402</v>
      </c>
      <c r="AD304" s="65"/>
      <c r="AE304" s="65"/>
      <c r="AF304" s="65"/>
      <c r="AG304" s="65"/>
      <c r="AH304" s="65"/>
      <c r="AI304" s="65"/>
      <c r="AJ304" s="65"/>
      <c r="AK304" s="65"/>
      <c r="AL304" s="65"/>
      <c r="AM304" s="65"/>
      <c r="AN304" s="65"/>
      <c r="AO304" s="65"/>
      <c r="AP304" s="65"/>
      <c r="AQ304" s="66"/>
      <c r="AR304" s="65" t="s">
        <v>405</v>
      </c>
      <c r="AS304" s="65"/>
      <c r="AT304" s="65"/>
      <c r="AU304" s="65"/>
      <c r="AV304" s="65"/>
      <c r="AW304" s="65"/>
      <c r="AX304" s="65"/>
      <c r="AY304" s="65"/>
      <c r="AZ304" s="65"/>
      <c r="BA304" s="65"/>
      <c r="BB304" s="65" t="s">
        <v>403</v>
      </c>
      <c r="BC304" s="65"/>
      <c r="BD304" s="65"/>
      <c r="BE304" s="65"/>
      <c r="BF304" s="65"/>
      <c r="BG304" s="65"/>
      <c r="BH304" s="65"/>
      <c r="BI304" s="65"/>
      <c r="BJ304" s="65"/>
      <c r="BK304" s="65"/>
      <c r="BL304" s="65"/>
      <c r="BM304" s="65"/>
    </row>
    <row r="305" spans="2:65" ht="15.75" x14ac:dyDescent="0.25">
      <c r="B305" s="201"/>
      <c r="C305" s="69"/>
      <c r="D305" s="70">
        <v>12</v>
      </c>
      <c r="E305" s="71" t="s">
        <v>412</v>
      </c>
      <c r="F305" s="92"/>
      <c r="G305" s="72"/>
      <c r="H305" s="72"/>
      <c r="I305" s="72"/>
      <c r="J305" s="72"/>
      <c r="K305" s="72"/>
      <c r="L305" s="72"/>
      <c r="M305" s="72"/>
      <c r="N305" s="72"/>
      <c r="O305" s="72"/>
      <c r="P305" s="72"/>
      <c r="Q305" s="72"/>
      <c r="R305" s="72"/>
      <c r="S305" s="72"/>
      <c r="T305" s="72"/>
      <c r="U305" s="72"/>
      <c r="V305" s="72"/>
      <c r="W305" s="72"/>
      <c r="X305" s="72"/>
      <c r="Y305" s="72"/>
      <c r="Z305" s="73"/>
      <c r="AA305" s="75"/>
      <c r="AB305" s="61"/>
      <c r="AC305" s="65"/>
      <c r="AD305" s="65"/>
      <c r="AE305" s="76" t="s">
        <v>114</v>
      </c>
      <c r="AF305" s="65"/>
      <c r="AG305" s="65"/>
      <c r="AH305" s="65"/>
      <c r="AI305" s="65"/>
      <c r="AJ305" s="65"/>
      <c r="AK305" s="65"/>
      <c r="AL305" s="65"/>
      <c r="AM305" s="65"/>
      <c r="AN305" s="65"/>
      <c r="AO305" s="65"/>
      <c r="AP305" s="66"/>
      <c r="AQ305" s="65"/>
      <c r="AR305" s="65" t="s">
        <v>404</v>
      </c>
      <c r="AS305" s="65"/>
      <c r="AT305" s="65"/>
      <c r="AU305" s="65"/>
      <c r="AV305" s="65"/>
      <c r="AW305" s="65"/>
      <c r="AX305" s="65"/>
      <c r="AY305" s="65"/>
      <c r="AZ305" s="65"/>
      <c r="BA305" s="65"/>
      <c r="BB305" s="65" t="s">
        <v>407</v>
      </c>
      <c r="BC305" s="65"/>
      <c r="BD305" s="65"/>
      <c r="BE305" s="65"/>
      <c r="BF305" s="65"/>
      <c r="BG305" s="65"/>
      <c r="BH305" s="65"/>
      <c r="BI305" s="65"/>
      <c r="BJ305" s="65"/>
      <c r="BK305" s="65"/>
      <c r="BL305" s="65"/>
      <c r="BM305" s="65"/>
    </row>
    <row r="306" spans="2:65" outlineLevel="1" x14ac:dyDescent="0.25">
      <c r="B306" s="201"/>
      <c r="C306" s="77"/>
      <c r="D306" s="116" t="s">
        <v>133</v>
      </c>
      <c r="E306" s="78"/>
      <c r="F306" s="78"/>
      <c r="AA306" s="75"/>
      <c r="AB306" s="61"/>
      <c r="AC306" s="65"/>
      <c r="AD306" s="65"/>
      <c r="AE306" s="65"/>
      <c r="AF306" s="65"/>
      <c r="AG306" s="65"/>
      <c r="AH306" s="65"/>
      <c r="AI306" s="65"/>
      <c r="AJ306" s="65"/>
      <c r="AK306" s="65"/>
      <c r="AL306" s="65"/>
      <c r="AM306" s="65"/>
      <c r="AN306" s="65"/>
      <c r="AO306" s="65"/>
      <c r="AP306" s="66"/>
      <c r="AQ306" s="65"/>
      <c r="AR306" s="65"/>
      <c r="AS306" s="65"/>
      <c r="AT306" s="65"/>
      <c r="AU306" s="65"/>
      <c r="AV306" s="65"/>
      <c r="AW306" s="65"/>
      <c r="AX306" s="65"/>
      <c r="AY306" s="65"/>
      <c r="AZ306" s="65"/>
      <c r="BA306" s="65"/>
      <c r="BB306" s="65"/>
      <c r="BC306" s="65"/>
      <c r="BD306" s="65"/>
      <c r="BE306" s="65"/>
      <c r="BF306" s="65"/>
      <c r="BG306" s="65"/>
      <c r="BH306" s="65"/>
      <c r="BI306" s="65"/>
      <c r="BJ306" s="65"/>
      <c r="BK306" s="65"/>
      <c r="BL306" s="65"/>
      <c r="BM306" s="65"/>
    </row>
    <row r="307" spans="2:65" outlineLevel="1" x14ac:dyDescent="0.25">
      <c r="B307" s="201"/>
      <c r="C307" s="77"/>
      <c r="D307" s="79">
        <v>0.13</v>
      </c>
      <c r="E307" s="2" t="s">
        <v>151</v>
      </c>
      <c r="F307" s="138">
        <v>1</v>
      </c>
      <c r="G307" s="61"/>
      <c r="H307" s="74"/>
      <c r="I307" s="74"/>
      <c r="J307" s="74"/>
      <c r="K307" s="2" t="s">
        <v>921</v>
      </c>
      <c r="L307" s="74"/>
      <c r="M307" s="74"/>
      <c r="N307" s="74"/>
      <c r="AA307" s="75"/>
      <c r="AB307" s="61"/>
      <c r="AC307" s="65"/>
      <c r="AD307" s="65"/>
      <c r="AE307" s="65" t="s">
        <v>115</v>
      </c>
      <c r="AF307" s="65"/>
      <c r="AG307" s="65"/>
      <c r="AH307" s="65"/>
      <c r="AI307" s="65" t="s">
        <v>116</v>
      </c>
      <c r="AJ307" s="65"/>
      <c r="AK307" s="65"/>
      <c r="AL307" s="65"/>
      <c r="AM307" s="65"/>
      <c r="AN307" s="65"/>
      <c r="AO307" s="65"/>
      <c r="AP307" s="66"/>
      <c r="AQ307" s="65"/>
      <c r="AR307" s="65"/>
      <c r="AS307" s="65"/>
      <c r="AT307" s="65"/>
      <c r="AU307" s="65"/>
      <c r="AV307" s="65"/>
      <c r="AW307" s="65"/>
      <c r="AX307" s="65"/>
      <c r="AY307" s="65"/>
      <c r="AZ307" s="65"/>
      <c r="BA307" s="65"/>
      <c r="BB307" s="65"/>
      <c r="BC307" s="65"/>
      <c r="BD307" s="65"/>
      <c r="BE307" s="65"/>
      <c r="BF307" s="65"/>
      <c r="BG307" s="65"/>
      <c r="BH307" s="65"/>
      <c r="BI307" s="65"/>
      <c r="BJ307" s="65"/>
      <c r="BK307" s="65"/>
      <c r="BL307" s="65"/>
      <c r="BM307" s="65"/>
    </row>
    <row r="308" spans="2:65" ht="15.75" outlineLevel="1" x14ac:dyDescent="0.25">
      <c r="B308" s="201"/>
      <c r="C308" s="77"/>
      <c r="D308" s="79">
        <v>0.04</v>
      </c>
      <c r="E308" s="2" t="s">
        <v>152</v>
      </c>
      <c r="F308" s="2"/>
      <c r="G308" s="61"/>
      <c r="H308" s="74"/>
      <c r="I308" s="74"/>
      <c r="J308" s="74"/>
      <c r="K308" s="74"/>
      <c r="L308" s="74"/>
      <c r="M308" s="74"/>
      <c r="N308" s="74"/>
      <c r="AA308" s="75"/>
      <c r="AB308" s="61"/>
      <c r="AC308" s="65"/>
      <c r="AD308" s="65"/>
      <c r="AE308" s="80" t="s">
        <v>117</v>
      </c>
      <c r="AF308" s="81"/>
      <c r="AG308" s="81"/>
      <c r="AH308" s="65"/>
      <c r="AI308" s="82" t="s">
        <v>118</v>
      </c>
      <c r="AJ308" s="81"/>
      <c r="AK308" s="81"/>
      <c r="AL308" s="65"/>
      <c r="AM308" s="83" t="s">
        <v>119</v>
      </c>
      <c r="AN308" s="84"/>
      <c r="AO308" s="85"/>
      <c r="AP308" s="65"/>
      <c r="AQ308" s="65"/>
      <c r="AR308" s="65"/>
      <c r="AS308" s="65"/>
      <c r="AT308" s="65"/>
      <c r="AU308" s="65"/>
      <c r="AV308" s="65"/>
      <c r="AW308" s="65"/>
      <c r="AX308" s="65"/>
      <c r="AY308" s="65"/>
      <c r="AZ308" s="65"/>
      <c r="BA308" s="65"/>
      <c r="BB308" s="65"/>
      <c r="BC308" s="65"/>
      <c r="BD308" s="65"/>
      <c r="BE308" s="65"/>
      <c r="BF308" s="65"/>
      <c r="BG308" s="65"/>
      <c r="BH308" s="65"/>
      <c r="BI308" s="65"/>
      <c r="BJ308" s="65"/>
      <c r="BK308" s="65"/>
      <c r="BL308" s="65"/>
      <c r="BM308" s="65"/>
    </row>
    <row r="309" spans="2:65" ht="15.75" outlineLevel="1" x14ac:dyDescent="0.25">
      <c r="B309" s="201"/>
      <c r="C309" s="77"/>
      <c r="D309" s="74"/>
      <c r="E309" s="61"/>
      <c r="F309" s="61"/>
      <c r="G309" s="61"/>
      <c r="H309" s="74"/>
      <c r="I309" s="74"/>
      <c r="J309" s="74"/>
      <c r="K309" s="74"/>
      <c r="L309" s="74"/>
      <c r="M309" s="74"/>
      <c r="N309" s="74"/>
      <c r="O309" s="1"/>
      <c r="P309" s="1"/>
      <c r="Q309" s="1"/>
      <c r="AA309" s="75"/>
      <c r="AB309" s="61"/>
      <c r="AC309" s="65"/>
      <c r="AD309" s="65"/>
      <c r="AE309" s="117"/>
      <c r="AF309" s="117"/>
      <c r="AG309" s="117"/>
      <c r="AH309" s="65"/>
      <c r="AI309" s="118"/>
      <c r="AJ309" s="117"/>
      <c r="AK309" s="117"/>
      <c r="AL309" s="65"/>
      <c r="AM309" s="119"/>
      <c r="AN309" s="119"/>
      <c r="AO309" s="119"/>
      <c r="AP309" s="65"/>
      <c r="AQ309" s="65"/>
      <c r="AR309" s="65"/>
      <c r="AS309" s="65"/>
      <c r="AT309" s="148" t="s">
        <v>351</v>
      </c>
      <c r="AU309" s="65"/>
      <c r="AV309" s="65"/>
      <c r="AW309" s="65"/>
      <c r="AX309" s="148"/>
      <c r="AY309" s="65"/>
      <c r="AZ309" s="65"/>
      <c r="BA309" s="65"/>
      <c r="BB309" s="65"/>
      <c r="BC309" s="148" t="s">
        <v>406</v>
      </c>
      <c r="BD309" s="65"/>
      <c r="BE309" s="65"/>
      <c r="BF309" s="65"/>
      <c r="BG309" s="148"/>
      <c r="BH309" s="65"/>
      <c r="BI309" s="65"/>
      <c r="BJ309" s="65"/>
      <c r="BK309" s="65"/>
      <c r="BL309" s="65"/>
      <c r="BM309" s="65"/>
    </row>
    <row r="310" spans="2:65" ht="22.5" outlineLevel="1" x14ac:dyDescent="0.25">
      <c r="B310" s="201"/>
      <c r="C310" s="77"/>
      <c r="D310" s="121" t="str">
        <f>$D$35</f>
        <v>Area section 1</v>
      </c>
      <c r="E310" s="61"/>
      <c r="F310" s="122" t="str">
        <f>$F$35</f>
        <v>Count?</v>
      </c>
      <c r="G310" s="122" t="str">
        <f>$G$35</f>
        <v>Thermal conductivity</v>
      </c>
      <c r="H310" s="122" t="str">
        <f>$H$35</f>
        <v>Manfacturing energy</v>
      </c>
      <c r="I310" s="122" t="str">
        <f>$I$35</f>
        <v>GWP</v>
      </c>
      <c r="J310" s="122" t="str">
        <f>$J$35</f>
        <v>Service life</v>
      </c>
      <c r="K310" s="121" t="str">
        <f>$K$35</f>
        <v>Area section 2 (optional)</v>
      </c>
      <c r="L310" s="121"/>
      <c r="M310" s="122" t="str">
        <f>$M$35</f>
        <v>Count?</v>
      </c>
      <c r="N310" s="122" t="str">
        <f>$N$35</f>
        <v>Thermal conductivity</v>
      </c>
      <c r="O310" s="122" t="str">
        <f>$O$35</f>
        <v>Manfacturing energy</v>
      </c>
      <c r="P310" s="122" t="str">
        <f>$P$35</f>
        <v>GWP</v>
      </c>
      <c r="Q310" s="122" t="str">
        <f>$Q$35</f>
        <v>Service life</v>
      </c>
      <c r="R310" s="121" t="str">
        <f>$R$35</f>
        <v>Area section 3 (optional)</v>
      </c>
      <c r="S310" s="74"/>
      <c r="T310" s="122" t="str">
        <f>$T$35</f>
        <v>Count?</v>
      </c>
      <c r="U310" s="122" t="str">
        <f>$U$35</f>
        <v>Thermal conductivity</v>
      </c>
      <c r="V310" s="122" t="str">
        <f>$V$35</f>
        <v>Manfacturing energy</v>
      </c>
      <c r="W310" s="122" t="str">
        <f>$W$35</f>
        <v>GWP</v>
      </c>
      <c r="X310" s="122" t="str">
        <f>$X$35</f>
        <v>Service life</v>
      </c>
      <c r="Y310" s="74"/>
      <c r="Z310" s="122" t="str">
        <f>$Z$35</f>
        <v>Thickness</v>
      </c>
      <c r="AA310" s="75"/>
      <c r="AB310" s="61"/>
      <c r="AC310" s="65"/>
      <c r="AD310" s="65"/>
      <c r="AE310" s="86"/>
      <c r="AF310" s="87"/>
      <c r="AG310" s="65"/>
      <c r="AH310" s="65"/>
      <c r="AI310" s="65"/>
      <c r="AJ310" s="65"/>
      <c r="AK310" s="65"/>
      <c r="AL310" s="65"/>
      <c r="AM310" s="65"/>
      <c r="AN310" s="65"/>
      <c r="AO310" s="65"/>
      <c r="AP310" s="65"/>
      <c r="AQ310" s="65"/>
      <c r="AR310" s="65"/>
      <c r="AS310" s="65"/>
      <c r="AT310" s="148"/>
      <c r="AU310" s="65"/>
      <c r="AV310" s="65"/>
      <c r="AW310" s="151" t="s">
        <v>353</v>
      </c>
      <c r="AX310" s="149">
        <f>D320</f>
        <v>1</v>
      </c>
      <c r="AY310" s="150">
        <f>K320</f>
        <v>0</v>
      </c>
      <c r="AZ310" s="150">
        <f>R320</f>
        <v>0</v>
      </c>
      <c r="BA310" s="156">
        <f>SUM(AX310:AZ310)</f>
        <v>1</v>
      </c>
      <c r="BB310" s="65"/>
      <c r="BC310" s="148"/>
      <c r="BD310" s="65"/>
      <c r="BE310" s="65"/>
      <c r="BF310" s="151" t="s">
        <v>353</v>
      </c>
      <c r="BG310" s="149">
        <f>AX310</f>
        <v>1</v>
      </c>
      <c r="BH310" s="149">
        <f t="shared" ref="BH310" si="222">AY310</f>
        <v>0</v>
      </c>
      <c r="BI310" s="149">
        <f t="shared" ref="BI310" si="223">AZ310</f>
        <v>0</v>
      </c>
      <c r="BJ310" s="156">
        <f>SUM(BG310:BI310)</f>
        <v>1</v>
      </c>
      <c r="BK310" s="65"/>
      <c r="BL310" s="65"/>
      <c r="BM310" s="65"/>
    </row>
    <row r="311" spans="2:65" outlineLevel="1" x14ac:dyDescent="0.25">
      <c r="B311" s="201"/>
      <c r="C311" s="77"/>
      <c r="E311" s="61"/>
      <c r="F311" s="120" t="s">
        <v>985</v>
      </c>
      <c r="G311" s="4" t="s">
        <v>135</v>
      </c>
      <c r="H311" s="120" t="s">
        <v>144</v>
      </c>
      <c r="I311" s="120" t="s">
        <v>148</v>
      </c>
      <c r="J311" s="120" t="s">
        <v>146</v>
      </c>
      <c r="K311" s="88"/>
      <c r="L311" s="88"/>
      <c r="M311" s="88"/>
      <c r="N311" s="4" t="s">
        <v>135</v>
      </c>
      <c r="O311" s="120" t="s">
        <v>144</v>
      </c>
      <c r="P311" s="120" t="s">
        <v>148</v>
      </c>
      <c r="Q311" s="120" t="s">
        <v>146</v>
      </c>
      <c r="R311" s="88"/>
      <c r="S311" s="88"/>
      <c r="T311" s="88"/>
      <c r="U311" s="4" t="s">
        <v>135</v>
      </c>
      <c r="V311" s="120" t="s">
        <v>144</v>
      </c>
      <c r="W311" s="120" t="s">
        <v>148</v>
      </c>
      <c r="X311" s="120" t="s">
        <v>146</v>
      </c>
      <c r="Y311" s="74"/>
      <c r="Z311" s="120" t="str">
        <f>$Z$36</f>
        <v>[mm]</v>
      </c>
      <c r="AA311" s="75"/>
      <c r="AB311" s="61"/>
      <c r="AC311" s="65"/>
      <c r="AD311" s="65"/>
      <c r="AE311" s="89" t="s">
        <v>120</v>
      </c>
      <c r="AF311" s="89" t="s">
        <v>121</v>
      </c>
      <c r="AG311" s="89" t="s">
        <v>122</v>
      </c>
      <c r="AH311" s="65"/>
      <c r="AI311" s="89" t="s">
        <v>120</v>
      </c>
      <c r="AJ311" s="89" t="s">
        <v>121</v>
      </c>
      <c r="AK311" s="89" t="s">
        <v>122</v>
      </c>
      <c r="AL311" s="90"/>
      <c r="AM311" s="89" t="s">
        <v>120</v>
      </c>
      <c r="AN311" s="89" t="s">
        <v>121</v>
      </c>
      <c r="AO311" s="89" t="s">
        <v>122</v>
      </c>
      <c r="AP311" s="90" t="s">
        <v>123</v>
      </c>
      <c r="AQ311" s="65"/>
      <c r="AR311" s="65"/>
      <c r="AS311" s="65"/>
      <c r="AT311" s="89" t="s">
        <v>120</v>
      </c>
      <c r="AU311" s="89" t="s">
        <v>121</v>
      </c>
      <c r="AV311" s="89" t="s">
        <v>122</v>
      </c>
      <c r="AW311" s="65"/>
      <c r="AX311" s="89" t="s">
        <v>120</v>
      </c>
      <c r="AY311" s="89" t="s">
        <v>121</v>
      </c>
      <c r="AZ311" s="89" t="s">
        <v>122</v>
      </c>
      <c r="BA311" s="89" t="s">
        <v>354</v>
      </c>
      <c r="BB311" s="65"/>
      <c r="BC311" s="89" t="s">
        <v>120</v>
      </c>
      <c r="BD311" s="89" t="s">
        <v>121</v>
      </c>
      <c r="BE311" s="89" t="s">
        <v>122</v>
      </c>
      <c r="BF311" s="65"/>
      <c r="BG311" s="89" t="s">
        <v>120</v>
      </c>
      <c r="BH311" s="89" t="s">
        <v>121</v>
      </c>
      <c r="BI311" s="89" t="s">
        <v>122</v>
      </c>
      <c r="BJ311" s="89" t="s">
        <v>354</v>
      </c>
      <c r="BK311" s="65"/>
      <c r="BL311" s="65"/>
      <c r="BM311" s="65"/>
    </row>
    <row r="312" spans="2:65" outlineLevel="1" x14ac:dyDescent="0.25">
      <c r="B312" s="201"/>
      <c r="C312" s="91"/>
      <c r="D312" s="418" t="s">
        <v>1023</v>
      </c>
      <c r="E312" s="419"/>
      <c r="F312" s="94"/>
      <c r="G312" s="136">
        <f>IF(ISNUMBER(VLOOKUP(LEFT(D312,3),'Material editor'!$D$11:$H$110,'Material editor'!$E$8,0)),VLOOKUP(LEFT(D312,3),'Material editor'!$D$11:$H$110,'Material editor'!$E$8,0),"")</f>
        <v>0.54</v>
      </c>
      <c r="H312" s="137">
        <f>IF(ISNUMBER(VLOOKUP(LEFT(D312,3),'Material editor'!$D$11:$H$110,'Material editor'!$F$8,0)),VLOOKUP(LEFT(D312,3),'Material editor'!$D$11:$H$110,'Material editor'!$F$8,0),"")</f>
        <v>615.62380504232146</v>
      </c>
      <c r="I312" s="137">
        <f>IF(ISNUMBER(VLOOKUP(LEFT(D312,3),'Material editor'!$D$11:$H$110,'Material editor'!$G$8,0)),VLOOKUP(LEFT(D312,3),'Material editor'!$D$11:$H$110,'Material editor'!$G$8,0),"")</f>
        <v>118.443629056085</v>
      </c>
      <c r="J312" s="137">
        <f>IF(ISNUMBER(VLOOKUP(LEFT(D312,3),'Material editor'!$D$11:$H$110,'Material editor'!$H$8,0)),VLOOKUP(LEFT(D312,3),'Material editor'!$D$11:$H$110,'Material editor'!$H$8,0),"")</f>
        <v>40</v>
      </c>
      <c r="K312" s="418"/>
      <c r="L312" s="407"/>
      <c r="M312" s="94"/>
      <c r="N312" s="136" t="str">
        <f>IF(ISNUMBER(VLOOKUP(LEFT(K312,3),'Material editor'!$D$11:$H$110,'Material editor'!$E$8,0)),VLOOKUP(LEFT(K312,3),'Material editor'!$D$11:$H$110,'Material editor'!$E$8,0),"")</f>
        <v/>
      </c>
      <c r="O312" s="137" t="str">
        <f>IF(ISNUMBER(VLOOKUP(LEFT(K312,3),'Material editor'!$D$11:$H$110,'Material editor'!$F$8,0)),VLOOKUP(LEFT(K312,3),'Material editor'!$D$11:$H$110,'Material editor'!$F$8,0),"")</f>
        <v/>
      </c>
      <c r="P312" s="137" t="str">
        <f>IF(ISNUMBER(VLOOKUP(LEFT(K312,3),'Material editor'!$D$11:$H$110,'Material editor'!$G$8,0)),VLOOKUP(LEFT(K312,3),'Material editor'!$D$11:$H$110,'Material editor'!$G$8,0),"")</f>
        <v/>
      </c>
      <c r="Q312" s="137" t="str">
        <f>IF(ISNUMBER(VLOOKUP(LEFT(K312,3),'Material editor'!$D$11:$H$110,'Material editor'!$H$8,0)),VLOOKUP(LEFT(K312,3),'Material editor'!$D$11:$H$110,'Material editor'!$H$8,0),"")</f>
        <v/>
      </c>
      <c r="R312" s="418"/>
      <c r="S312" s="407"/>
      <c r="T312" s="94"/>
      <c r="U312" s="136" t="str">
        <f>IF(ISNUMBER(VLOOKUP(LEFT(R312,3),'Material editor'!$D$11:$H$110,'Material editor'!$E$8,0)),VLOOKUP(LEFT(R312,3),'Material editor'!$D$11:$H$110,'Material editor'!$E$8,0),"")</f>
        <v/>
      </c>
      <c r="V312" s="137" t="str">
        <f>IF(ISNUMBER(VLOOKUP(LEFT(R312,3),'Material editor'!$D$11:$H$110,'Material editor'!$F$8,0)),VLOOKUP(LEFT(R312,3),'Material editor'!$D$11:$H$110,'Material editor'!$F$8,0),"")</f>
        <v/>
      </c>
      <c r="W312" s="137" t="str">
        <f>IF(ISNUMBER(VLOOKUP(LEFT(R312,3),'Material editor'!$D$11:$H$110,'Material editor'!$G$8,0)),VLOOKUP(LEFT(R312,3),'Material editor'!$D$11:$H$110,'Material editor'!$G$8,0),"")</f>
        <v/>
      </c>
      <c r="X312" s="137" t="str">
        <f>IF(ISNUMBER(VLOOKUP(LEFT(R312,3),'Material editor'!$D$11:$H$110,'Material editor'!$H$8,0)),VLOOKUP(LEFT(R312,3),'Material editor'!$D$11:$H$110,'Material editor'!$H$8,0),"")</f>
        <v/>
      </c>
      <c r="Y312" s="74"/>
      <c r="Z312" s="94">
        <v>15</v>
      </c>
      <c r="AA312" s="8"/>
      <c r="AB312" s="61"/>
      <c r="AC312" s="65"/>
      <c r="AD312" s="65"/>
      <c r="AE312" s="95">
        <f t="shared" ref="AE312:AE319" si="224">IF(ISNUMBER(G312),IF(G312&gt;0,$Z312/1000/G312,0),0)</f>
        <v>2.7777777777777776E-2</v>
      </c>
      <c r="AF312" s="95">
        <f t="shared" ref="AF312:AF319" si="225">IF(ISNUMBER(N312),IF(N312&gt;0,$Z312/1000/N312,0),$AE312)</f>
        <v>2.7777777777777776E-2</v>
      </c>
      <c r="AG312" s="95">
        <f t="shared" ref="AG312:AG319" si="226">IF(ISNUMBER(U312),IF(U312&gt;0,$Z312/1000/U312,0),$AE312)</f>
        <v>2.7777777777777776E-2</v>
      </c>
      <c r="AH312" s="65"/>
      <c r="AI312" s="95">
        <f t="shared" ref="AI312:AI318" si="227">IF(ISNUMBER(G312),G312,0)</f>
        <v>0.54</v>
      </c>
      <c r="AJ312" s="95">
        <f t="shared" ref="AJ312:AJ319" si="228">IF(ISNUMBER(N312),IF(N312&gt;0,N312,0),$AI312)</f>
        <v>0.54</v>
      </c>
      <c r="AK312" s="95">
        <f t="shared" ref="AK312:AK319" si="229">IF(ISNUMBER(U312),IF(U312&gt;0,U312,0),$AI312)</f>
        <v>0.54</v>
      </c>
      <c r="AL312" s="65"/>
      <c r="AM312" s="96">
        <f>AE321</f>
        <v>1</v>
      </c>
      <c r="AN312" s="96">
        <f>AF321</f>
        <v>0</v>
      </c>
      <c r="AO312" s="96">
        <f>AG321</f>
        <v>0</v>
      </c>
      <c r="AP312" s="65">
        <f t="shared" ref="AP312:AP319" si="230">IF(AI312&lt;&gt;0,Z312/1000/SUMPRODUCT(AM312:AO312,AI312:AK312),0)</f>
        <v>2.7777777777777776E-2</v>
      </c>
      <c r="AQ312" s="65"/>
      <c r="AR312" s="65"/>
      <c r="AS312" s="65"/>
      <c r="AT312" s="95">
        <f>IF(ISNUMBER(H312),H312*F312*Z312/1000*Balance!$H$13/J312,0)</f>
        <v>0</v>
      </c>
      <c r="AU312" s="95">
        <f>IF(ISTEXT(K312),IF(ISNUMBER(O312),O312*M312*Z312/1000*Balance!$H$13/Q312,0),AT312)</f>
        <v>0</v>
      </c>
      <c r="AV312" s="95">
        <f>IF(ISTEXT(R312),IF(ISNUMBER(V312),V312*T312*Z312/1000*Balance!$H$13/X312,0),AT312)</f>
        <v>0</v>
      </c>
      <c r="AW312" s="99"/>
      <c r="AX312" s="95">
        <f>AT312*AX310</f>
        <v>0</v>
      </c>
      <c r="AY312" s="95">
        <f>AU312*AY310</f>
        <v>0</v>
      </c>
      <c r="AZ312" s="95">
        <f>AV312*AZ310</f>
        <v>0</v>
      </c>
      <c r="BA312" s="95">
        <f>SUM(AX312:AZ312)</f>
        <v>0</v>
      </c>
      <c r="BB312" s="65"/>
      <c r="BC312" s="95">
        <f>IF(ISNUMBER(I312),I312*F312*Z312/1000*Balance!$H$13/J312,0)</f>
        <v>0</v>
      </c>
      <c r="BD312" s="95">
        <f>IF(ISTEXT(K312),IF(ISNUMBER(P312),P312*M312*Z312/1000*Balance!$H$13/Q312,0),BC312)</f>
        <v>0</v>
      </c>
      <c r="BE312" s="95">
        <f>IF(ISTEXT(R312),IF(ISNUMBER(W312),W312*T312*Z312/1000*Balance!$H$13/X312,0),BC312)</f>
        <v>0</v>
      </c>
      <c r="BF312" s="99"/>
      <c r="BG312" s="95">
        <f>BC312*BG310</f>
        <v>0</v>
      </c>
      <c r="BH312" s="95">
        <f>BD312*BH310</f>
        <v>0</v>
      </c>
      <c r="BI312" s="95">
        <f>BE312*BI310</f>
        <v>0</v>
      </c>
      <c r="BJ312" s="95">
        <f>SUM(BG312:BI312)</f>
        <v>0</v>
      </c>
      <c r="BK312" s="65"/>
      <c r="BL312" s="65"/>
      <c r="BM312" s="65"/>
    </row>
    <row r="313" spans="2:65" outlineLevel="1" x14ac:dyDescent="0.25">
      <c r="B313" s="201"/>
      <c r="C313" s="91"/>
      <c r="D313" s="418" t="s">
        <v>1033</v>
      </c>
      <c r="E313" s="407"/>
      <c r="F313" s="94"/>
      <c r="G313" s="136">
        <f>IF(ISNUMBER(VLOOKUP(LEFT(D313,3),'Material editor'!$D$11:$H$110,'Material editor'!$E$8,0)),VLOOKUP(LEFT(D313,3),'Material editor'!$D$11:$H$110,'Material editor'!$E$8,0),"")</f>
        <v>7.0000000000000007E-2</v>
      </c>
      <c r="H313" s="137">
        <f>IF(ISNUMBER(VLOOKUP(LEFT(D313,3),'Material editor'!$D$11:$H$110,'Material editor'!$F$8,0)),VLOOKUP(LEFT(D313,3),'Material editor'!$D$11:$H$110,'Material editor'!$F$8,0),"")</f>
        <v>509.16666666666663</v>
      </c>
      <c r="I313" s="137">
        <f>IF(ISNUMBER(VLOOKUP(LEFT(D313,3),'Material editor'!$D$11:$H$110,'Material editor'!$G$8,0)),VLOOKUP(LEFT(D313,3),'Material editor'!$D$11:$H$110,'Material editor'!$G$8,0),"")</f>
        <v>146</v>
      </c>
      <c r="J313" s="137">
        <f>IF(ISNUMBER(VLOOKUP(LEFT(D313,3),'Material editor'!$D$11:$H$110,'Material editor'!$H$8,0)),VLOOKUP(LEFT(D313,3),'Material editor'!$D$11:$H$110,'Material editor'!$H$8,0),"")</f>
        <v>80</v>
      </c>
      <c r="K313" s="418"/>
      <c r="L313" s="407"/>
      <c r="M313" s="94"/>
      <c r="N313" s="136" t="str">
        <f>IF(ISNUMBER(VLOOKUP(LEFT(K313,3),'Material editor'!$D$11:$H$110,'Material editor'!$E$8,0)),VLOOKUP(LEFT(K313,3),'Material editor'!$D$11:$H$110,'Material editor'!$E$8,0),"")</f>
        <v/>
      </c>
      <c r="O313" s="137" t="str">
        <f>IF(ISNUMBER(VLOOKUP(LEFT(K313,3),'Material editor'!$D$11:$H$110,'Material editor'!$F$8,0)),VLOOKUP(LEFT(K313,3),'Material editor'!$D$11:$H$110,'Material editor'!$F$8,0),"")</f>
        <v/>
      </c>
      <c r="P313" s="137" t="str">
        <f>IF(ISNUMBER(VLOOKUP(LEFT(K313,3),'Material editor'!$D$11:$H$110,'Material editor'!$G$8,0)),VLOOKUP(LEFT(K313,3),'Material editor'!$D$11:$H$110,'Material editor'!$G$8,0),"")</f>
        <v/>
      </c>
      <c r="Q313" s="137" t="str">
        <f>IF(ISNUMBER(VLOOKUP(LEFT(K313,3),'Material editor'!$D$11:$H$110,'Material editor'!$H$8,0)),VLOOKUP(LEFT(K313,3),'Material editor'!$D$11:$H$110,'Material editor'!$H$8,0),"")</f>
        <v/>
      </c>
      <c r="R313" s="418"/>
      <c r="S313" s="407"/>
      <c r="T313" s="94"/>
      <c r="U313" s="136" t="str">
        <f>IF(ISNUMBER(VLOOKUP(LEFT(R313,3),'Material editor'!$D$11:$H$110,'Material editor'!$E$8,0)),VLOOKUP(LEFT(R313,3),'Material editor'!$D$11:$H$110,'Material editor'!$E$8,0),"")</f>
        <v/>
      </c>
      <c r="V313" s="137" t="str">
        <f>IF(ISNUMBER(VLOOKUP(LEFT(R313,3),'Material editor'!$D$11:$H$110,'Material editor'!$F$8,0)),VLOOKUP(LEFT(R313,3),'Material editor'!$D$11:$H$110,'Material editor'!$F$8,0),"")</f>
        <v/>
      </c>
      <c r="W313" s="137" t="str">
        <f>IF(ISNUMBER(VLOOKUP(LEFT(R313,3),'Material editor'!$D$11:$H$110,'Material editor'!$G$8,0)),VLOOKUP(LEFT(R313,3),'Material editor'!$D$11:$H$110,'Material editor'!$G$8,0),"")</f>
        <v/>
      </c>
      <c r="X313" s="137" t="str">
        <f>IF(ISNUMBER(VLOOKUP(LEFT(R313,3),'Material editor'!$D$11:$H$110,'Material editor'!$H$8,0)),VLOOKUP(LEFT(R313,3),'Material editor'!$D$11:$H$110,'Material editor'!$H$8,0),"")</f>
        <v/>
      </c>
      <c r="Y313" s="74"/>
      <c r="Z313" s="94">
        <v>240</v>
      </c>
      <c r="AA313" s="8"/>
      <c r="AB313" s="61"/>
      <c r="AC313" s="65"/>
      <c r="AD313" s="65"/>
      <c r="AE313" s="95">
        <f t="shared" si="224"/>
        <v>3.4285714285714279</v>
      </c>
      <c r="AF313" s="95">
        <f t="shared" si="225"/>
        <v>3.4285714285714279</v>
      </c>
      <c r="AG313" s="95">
        <f t="shared" si="226"/>
        <v>3.4285714285714279</v>
      </c>
      <c r="AH313" s="65"/>
      <c r="AI313" s="95">
        <f t="shared" si="227"/>
        <v>7.0000000000000007E-2</v>
      </c>
      <c r="AJ313" s="95">
        <f t="shared" si="228"/>
        <v>7.0000000000000007E-2</v>
      </c>
      <c r="AK313" s="95">
        <f t="shared" si="229"/>
        <v>7.0000000000000007E-2</v>
      </c>
      <c r="AL313" s="65"/>
      <c r="AM313" s="96">
        <f t="shared" ref="AM313:AO313" si="231">AM312</f>
        <v>1</v>
      </c>
      <c r="AN313" s="96">
        <f t="shared" si="231"/>
        <v>0</v>
      </c>
      <c r="AO313" s="96">
        <f t="shared" si="231"/>
        <v>0</v>
      </c>
      <c r="AP313" s="65">
        <f t="shared" si="230"/>
        <v>3.4285714285714279</v>
      </c>
      <c r="AQ313" s="65"/>
      <c r="AR313" s="65"/>
      <c r="AS313" s="65"/>
      <c r="AT313" s="95">
        <f>IF(ISNUMBER(H313),H313*F313*Z313/1000*Balance!$H$13/J313,0)</f>
        <v>0</v>
      </c>
      <c r="AU313" s="95">
        <f>IF(ISTEXT(K313),IF(ISNUMBER(O313),O313*M313*Z313/1000*Balance!$H$13/Q313,0),AT313)</f>
        <v>0</v>
      </c>
      <c r="AV313" s="95">
        <f>IF(ISTEXT(R313),IF(ISNUMBER(V313),V313*T313*Z313/1000*Balance!$H$13/X313,0),AT313)</f>
        <v>0</v>
      </c>
      <c r="AW313" s="65"/>
      <c r="AX313" s="95">
        <f>AT313*AX310</f>
        <v>0</v>
      </c>
      <c r="AY313" s="95">
        <f>AU313*AY310</f>
        <v>0</v>
      </c>
      <c r="AZ313" s="95">
        <f>AV313*AZ310</f>
        <v>0</v>
      </c>
      <c r="BA313" s="95">
        <f t="shared" ref="BA313:BA319" si="232">SUM(AX313:AZ313)</f>
        <v>0</v>
      </c>
      <c r="BB313" s="65"/>
      <c r="BC313" s="95">
        <f>IF(ISNUMBER(I313),I313*F313*Z313/1000*Balance!$H$13/J313,0)</f>
        <v>0</v>
      </c>
      <c r="BD313" s="95">
        <f>IF(ISTEXT(K313),IF(ISNUMBER(P313),P313*M313*Z313/1000*Balance!$H$13/Q313,0),BC313)</f>
        <v>0</v>
      </c>
      <c r="BE313" s="95">
        <f>IF(ISTEXT(R313),IF(ISNUMBER(W313),W313*T313*Z313/1000*Balance!$H$13/X313,0),BC313)</f>
        <v>0</v>
      </c>
      <c r="BF313" s="65"/>
      <c r="BG313" s="95">
        <f>BC313*BG310</f>
        <v>0</v>
      </c>
      <c r="BH313" s="95">
        <f>BD313*BH310</f>
        <v>0</v>
      </c>
      <c r="BI313" s="95">
        <f>BE313*BI310</f>
        <v>0</v>
      </c>
      <c r="BJ313" s="95">
        <f t="shared" ref="BJ313:BJ319" si="233">SUM(BG313:BI313)</f>
        <v>0</v>
      </c>
      <c r="BK313" s="65"/>
      <c r="BL313" s="65"/>
      <c r="BM313" s="65"/>
    </row>
    <row r="314" spans="2:65" outlineLevel="1" x14ac:dyDescent="0.25">
      <c r="B314" s="201"/>
      <c r="C314" s="91"/>
      <c r="D314" s="418" t="s">
        <v>1027</v>
      </c>
      <c r="E314" s="419"/>
      <c r="F314" s="94"/>
      <c r="G314" s="136">
        <f>IF(ISNUMBER(VLOOKUP(LEFT(D314,3),'Material editor'!$D$11:$H$110,'Material editor'!$E$8,0)),VLOOKUP(LEFT(D314,3),'Material editor'!$D$11:$H$110,'Material editor'!$E$8,0),"")</f>
        <v>1</v>
      </c>
      <c r="H314" s="137">
        <f>IF(ISNUMBER(VLOOKUP(LEFT(D314,3),'Material editor'!$D$11:$H$110,'Material editor'!$F$8,0)),VLOOKUP(LEFT(D314,3),'Material editor'!$D$11:$H$110,'Material editor'!$F$8,0),"")</f>
        <v>905.22046069906946</v>
      </c>
      <c r="I314" s="137">
        <f>IF(ISNUMBER(VLOOKUP(LEFT(D314,3),'Material editor'!$D$11:$H$110,'Material editor'!$G$8,0)),VLOOKUP(LEFT(D314,3),'Material editor'!$D$11:$H$110,'Material editor'!$G$8,0),"")</f>
        <v>354.91241395986202</v>
      </c>
      <c r="J314" s="137">
        <f>IF(ISNUMBER(VLOOKUP(LEFT(D314,3),'Material editor'!$D$11:$H$110,'Material editor'!$H$8,0)),VLOOKUP(LEFT(D314,3),'Material editor'!$D$11:$H$110,'Material editor'!$H$8,0),"")</f>
        <v>40</v>
      </c>
      <c r="K314" s="418"/>
      <c r="L314" s="407"/>
      <c r="M314" s="94"/>
      <c r="N314" s="136" t="str">
        <f>IF(ISNUMBER(VLOOKUP(LEFT(K314,3),'Material editor'!$D$11:$H$110,'Material editor'!$E$8,0)),VLOOKUP(LEFT(K314,3),'Material editor'!$D$11:$H$110,'Material editor'!$E$8,0),"")</f>
        <v/>
      </c>
      <c r="O314" s="137" t="str">
        <f>IF(ISNUMBER(VLOOKUP(LEFT(K314,3),'Material editor'!$D$11:$H$110,'Material editor'!$F$8,0)),VLOOKUP(LEFT(K314,3),'Material editor'!$D$11:$H$110,'Material editor'!$F$8,0),"")</f>
        <v/>
      </c>
      <c r="P314" s="137" t="str">
        <f>IF(ISNUMBER(VLOOKUP(LEFT(K314,3),'Material editor'!$D$11:$H$110,'Material editor'!$G$8,0)),VLOOKUP(LEFT(K314,3),'Material editor'!$D$11:$H$110,'Material editor'!$G$8,0),"")</f>
        <v/>
      </c>
      <c r="Q314" s="137" t="str">
        <f>IF(ISNUMBER(VLOOKUP(LEFT(K314,3),'Material editor'!$D$11:$H$110,'Material editor'!$H$8,0)),VLOOKUP(LEFT(K314,3),'Material editor'!$D$11:$H$110,'Material editor'!$H$8,0),"")</f>
        <v/>
      </c>
      <c r="R314" s="418"/>
      <c r="S314" s="407"/>
      <c r="T314" s="94"/>
      <c r="U314" s="136" t="str">
        <f>IF(ISNUMBER(VLOOKUP(LEFT(R314,3),'Material editor'!$D$11:$H$110,'Material editor'!$E$8,0)),VLOOKUP(LEFT(R314,3),'Material editor'!$D$11:$H$110,'Material editor'!$E$8,0),"")</f>
        <v/>
      </c>
      <c r="V314" s="137" t="str">
        <f>IF(ISNUMBER(VLOOKUP(LEFT(R314,3),'Material editor'!$D$11:$H$110,'Material editor'!$F$8,0)),VLOOKUP(LEFT(R314,3),'Material editor'!$D$11:$H$110,'Material editor'!$F$8,0),"")</f>
        <v/>
      </c>
      <c r="W314" s="137" t="str">
        <f>IF(ISNUMBER(VLOOKUP(LEFT(R314,3),'Material editor'!$D$11:$H$110,'Material editor'!$G$8,0)),VLOOKUP(LEFT(R314,3),'Material editor'!$D$11:$H$110,'Material editor'!$G$8,0),"")</f>
        <v/>
      </c>
      <c r="X314" s="137" t="str">
        <f>IF(ISNUMBER(VLOOKUP(LEFT(R314,3),'Material editor'!$D$11:$H$110,'Material editor'!$H$8,0)),VLOOKUP(LEFT(R314,3),'Material editor'!$D$11:$H$110,'Material editor'!$H$8,0),"")</f>
        <v/>
      </c>
      <c r="Y314" s="74"/>
      <c r="Z314" s="94">
        <v>20</v>
      </c>
      <c r="AA314" s="8"/>
      <c r="AB314" s="61"/>
      <c r="AC314" s="65"/>
      <c r="AD314" s="65"/>
      <c r="AE314" s="95">
        <f t="shared" si="224"/>
        <v>0.02</v>
      </c>
      <c r="AF314" s="95">
        <f t="shared" si="225"/>
        <v>0.02</v>
      </c>
      <c r="AG314" s="95">
        <f t="shared" si="226"/>
        <v>0.02</v>
      </c>
      <c r="AH314" s="65"/>
      <c r="AI314" s="95">
        <f t="shared" si="227"/>
        <v>1</v>
      </c>
      <c r="AJ314" s="95">
        <f t="shared" si="228"/>
        <v>1</v>
      </c>
      <c r="AK314" s="95">
        <f t="shared" si="229"/>
        <v>1</v>
      </c>
      <c r="AL314" s="65"/>
      <c r="AM314" s="96">
        <f t="shared" ref="AM314:AO314" si="234">AM313</f>
        <v>1</v>
      </c>
      <c r="AN314" s="96">
        <f t="shared" si="234"/>
        <v>0</v>
      </c>
      <c r="AO314" s="96">
        <f t="shared" si="234"/>
        <v>0</v>
      </c>
      <c r="AP314" s="65">
        <f t="shared" si="230"/>
        <v>0.02</v>
      </c>
      <c r="AQ314" s="65"/>
      <c r="AR314" s="65"/>
      <c r="AS314" s="65"/>
      <c r="AT314" s="95">
        <f>IF(ISNUMBER(H314),H314*F314*Z314/1000*Balance!$H$13/J314,0)</f>
        <v>0</v>
      </c>
      <c r="AU314" s="95">
        <f>IF(ISTEXT(K314),IF(ISNUMBER(O314),O314*M314*Z314/1000*Balance!$H$13/Q314,0),AT314)</f>
        <v>0</v>
      </c>
      <c r="AV314" s="95">
        <f>IF(ISTEXT(R314),IF(ISNUMBER(V314),V314*T314*Z314/1000*Balance!$H$13/X314,0),AT314)</f>
        <v>0</v>
      </c>
      <c r="AW314" s="65"/>
      <c r="AX314" s="95">
        <f>AT314*AX310</f>
        <v>0</v>
      </c>
      <c r="AY314" s="95">
        <f>AU314*AY310</f>
        <v>0</v>
      </c>
      <c r="AZ314" s="95">
        <f>AV314*AZ310</f>
        <v>0</v>
      </c>
      <c r="BA314" s="95">
        <f t="shared" si="232"/>
        <v>0</v>
      </c>
      <c r="BB314" s="65"/>
      <c r="BC314" s="95">
        <f>IF(ISNUMBER(I314),I314*F314*Z314/1000*Balance!$H$13/J314,0)</f>
        <v>0</v>
      </c>
      <c r="BD314" s="95">
        <f>IF(ISTEXT(K314),IF(ISNUMBER(P314),P314*M314*Z314/1000*Balance!$H$13/Q314,0),BC314)</f>
        <v>0</v>
      </c>
      <c r="BE314" s="95">
        <f>IF(ISTEXT(R314),IF(ISNUMBER(W314),W314*T314*Z314/1000*Balance!$H$13/X314,0),BC314)</f>
        <v>0</v>
      </c>
      <c r="BF314" s="65"/>
      <c r="BG314" s="95">
        <f>BC314*BG310</f>
        <v>0</v>
      </c>
      <c r="BH314" s="95">
        <f>BD314*BH310</f>
        <v>0</v>
      </c>
      <c r="BI314" s="95">
        <f>BE314*BI310</f>
        <v>0</v>
      </c>
      <c r="BJ314" s="95">
        <f t="shared" si="233"/>
        <v>0</v>
      </c>
      <c r="BK314" s="65"/>
      <c r="BL314" s="65"/>
      <c r="BM314" s="65"/>
    </row>
    <row r="315" spans="2:65" outlineLevel="1" x14ac:dyDescent="0.25">
      <c r="B315" s="201"/>
      <c r="C315" s="91"/>
      <c r="D315" s="418" t="s">
        <v>1026</v>
      </c>
      <c r="E315" s="419"/>
      <c r="F315" s="94">
        <v>1</v>
      </c>
      <c r="G315" s="136">
        <f>IF(ISNUMBER(VLOOKUP(LEFT(D315,3),'Material editor'!$D$11:$H$110,'Material editor'!$E$8,0)),VLOOKUP(LEFT(D315,3),'Material editor'!$D$11:$H$110,'Material editor'!$E$8,0),"")</f>
        <v>0.7</v>
      </c>
      <c r="H315" s="137">
        <f>IF(ISNUMBER(VLOOKUP(LEFT(D315,3),'Material editor'!$D$11:$H$110,'Material editor'!$F$8,0)),VLOOKUP(LEFT(D315,3),'Material editor'!$D$11:$H$110,'Material editor'!$F$8,0),"")</f>
        <v>496.23211201094273</v>
      </c>
      <c r="I315" s="137">
        <f>IF(ISNUMBER(VLOOKUP(LEFT(D315,3),'Material editor'!$D$11:$H$110,'Material editor'!$G$8,0)),VLOOKUP(LEFT(D315,3),'Material editor'!$D$11:$H$110,'Material editor'!$G$8,0),"")</f>
        <v>103.94883076360401</v>
      </c>
      <c r="J315" s="137">
        <f>IF(ISNUMBER(VLOOKUP(LEFT(D315,3),'Material editor'!$D$11:$H$110,'Material editor'!$H$8,0)),VLOOKUP(LEFT(D315,3),'Material editor'!$D$11:$H$110,'Material editor'!$H$8,0),"")</f>
        <v>40</v>
      </c>
      <c r="K315" s="418"/>
      <c r="L315" s="407"/>
      <c r="M315" s="94"/>
      <c r="N315" s="136" t="str">
        <f>IF(ISNUMBER(VLOOKUP(LEFT(K315,3),'Material editor'!$D$11:$H$110,'Material editor'!$E$8,0)),VLOOKUP(LEFT(K315,3),'Material editor'!$D$11:$H$110,'Material editor'!$E$8,0),"")</f>
        <v/>
      </c>
      <c r="O315" s="137" t="str">
        <f>IF(ISNUMBER(VLOOKUP(LEFT(K315,3),'Material editor'!$D$11:$H$110,'Material editor'!$F$8,0)),VLOOKUP(LEFT(K315,3),'Material editor'!$D$11:$H$110,'Material editor'!$F$8,0),"")</f>
        <v/>
      </c>
      <c r="P315" s="137" t="str">
        <f>IF(ISNUMBER(VLOOKUP(LEFT(K315,3),'Material editor'!$D$11:$H$110,'Material editor'!$G$8,0)),VLOOKUP(LEFT(K315,3),'Material editor'!$D$11:$H$110,'Material editor'!$G$8,0),"")</f>
        <v/>
      </c>
      <c r="Q315" s="137" t="str">
        <f>IF(ISNUMBER(VLOOKUP(LEFT(K315,3),'Material editor'!$D$11:$H$110,'Material editor'!$H$8,0)),VLOOKUP(LEFT(K315,3),'Material editor'!$D$11:$H$110,'Material editor'!$H$8,0),"")</f>
        <v/>
      </c>
      <c r="R315" s="418"/>
      <c r="S315" s="407"/>
      <c r="T315" s="94"/>
      <c r="U315" s="136" t="str">
        <f>IF(ISNUMBER(VLOOKUP(LEFT(R315,3),'Material editor'!$D$11:$H$110,'Material editor'!$E$8,0)),VLOOKUP(LEFT(R315,3),'Material editor'!$D$11:$H$110,'Material editor'!$E$8,0),"")</f>
        <v/>
      </c>
      <c r="V315" s="137" t="str">
        <f>IF(ISNUMBER(VLOOKUP(LEFT(R315,3),'Material editor'!$D$11:$H$110,'Material editor'!$F$8,0)),VLOOKUP(LEFT(R315,3),'Material editor'!$D$11:$H$110,'Material editor'!$F$8,0),"")</f>
        <v/>
      </c>
      <c r="W315" s="137" t="str">
        <f>IF(ISNUMBER(VLOOKUP(LEFT(R315,3),'Material editor'!$D$11:$H$110,'Material editor'!$G$8,0)),VLOOKUP(LEFT(R315,3),'Material editor'!$D$11:$H$110,'Material editor'!$G$8,0),"")</f>
        <v/>
      </c>
      <c r="X315" s="137" t="str">
        <f>IF(ISNUMBER(VLOOKUP(LEFT(R315,3),'Material editor'!$D$11:$H$110,'Material editor'!$H$8,0)),VLOOKUP(LEFT(R315,3),'Material editor'!$D$11:$H$110,'Material editor'!$H$8,0),"")</f>
        <v/>
      </c>
      <c r="Y315" s="74"/>
      <c r="Z315" s="94">
        <v>4</v>
      </c>
      <c r="AA315" s="8"/>
      <c r="AB315" s="61"/>
      <c r="AC315" s="65"/>
      <c r="AD315" s="65"/>
      <c r="AE315" s="95">
        <f t="shared" si="224"/>
        <v>5.7142857142857151E-3</v>
      </c>
      <c r="AF315" s="95">
        <f t="shared" si="225"/>
        <v>5.7142857142857151E-3</v>
      </c>
      <c r="AG315" s="95">
        <f t="shared" si="226"/>
        <v>5.7142857142857151E-3</v>
      </c>
      <c r="AH315" s="65"/>
      <c r="AI315" s="95">
        <f t="shared" si="227"/>
        <v>0.7</v>
      </c>
      <c r="AJ315" s="95">
        <f t="shared" si="228"/>
        <v>0.7</v>
      </c>
      <c r="AK315" s="95">
        <f t="shared" si="229"/>
        <v>0.7</v>
      </c>
      <c r="AL315" s="65"/>
      <c r="AM315" s="96">
        <f t="shared" ref="AM315:AO315" si="235">AM314</f>
        <v>1</v>
      </c>
      <c r="AN315" s="96">
        <f t="shared" si="235"/>
        <v>0</v>
      </c>
      <c r="AO315" s="96">
        <f t="shared" si="235"/>
        <v>0</v>
      </c>
      <c r="AP315" s="65">
        <f t="shared" si="230"/>
        <v>5.7142857142857151E-3</v>
      </c>
      <c r="AQ315" s="65"/>
      <c r="AR315" s="65"/>
      <c r="AS315" s="65"/>
      <c r="AT315" s="95">
        <f>IF(ISNUMBER(H315),H315*F315*Z315/1000*Balance!$H$13/J315,0)</f>
        <v>0.9924642240218855</v>
      </c>
      <c r="AU315" s="95">
        <f>IF(ISTEXT(K315),IF(ISNUMBER(O315),O315*M315*Z315/1000*Balance!$H$13/Q315,0),AT315)</f>
        <v>0.9924642240218855</v>
      </c>
      <c r="AV315" s="95">
        <f>IF(ISTEXT(R315),IF(ISNUMBER(V315),V315*T315*Z315/1000*Balance!$H$13/X315,0),AT315)</f>
        <v>0.9924642240218855</v>
      </c>
      <c r="AW315" s="65"/>
      <c r="AX315" s="95">
        <f>AT315*AX310</f>
        <v>0.9924642240218855</v>
      </c>
      <c r="AY315" s="95">
        <f>AU315*AY310</f>
        <v>0</v>
      </c>
      <c r="AZ315" s="95">
        <f>AV315*AZ310</f>
        <v>0</v>
      </c>
      <c r="BA315" s="95">
        <f t="shared" si="232"/>
        <v>0.9924642240218855</v>
      </c>
      <c r="BB315" s="65"/>
      <c r="BC315" s="95">
        <f>IF(ISNUMBER(I315),I315*F315*Z315/1000*Balance!$H$13/J315,0)</f>
        <v>0.20789766152720804</v>
      </c>
      <c r="BD315" s="95">
        <f>IF(ISTEXT(K315),IF(ISNUMBER(P315),P315*M315*Z315/1000*Balance!$H$13/Q315,0),BC315)</f>
        <v>0.20789766152720804</v>
      </c>
      <c r="BE315" s="95">
        <f>IF(ISTEXT(R315),IF(ISNUMBER(W315),W315*T315*Z315/1000*Balance!$H$13/X315,0),BC315)</f>
        <v>0.20789766152720804</v>
      </c>
      <c r="BF315" s="65"/>
      <c r="BG315" s="95">
        <f>BC315*BG310</f>
        <v>0.20789766152720804</v>
      </c>
      <c r="BH315" s="95">
        <f>BD315*BH310</f>
        <v>0</v>
      </c>
      <c r="BI315" s="95">
        <f>BE315*BI310</f>
        <v>0</v>
      </c>
      <c r="BJ315" s="95">
        <f t="shared" si="233"/>
        <v>0.20789766152720804</v>
      </c>
      <c r="BK315" s="65"/>
      <c r="BL315" s="65"/>
      <c r="BM315" s="65"/>
    </row>
    <row r="316" spans="2:65" outlineLevel="1" x14ac:dyDescent="0.25">
      <c r="B316" s="201"/>
      <c r="C316" s="91"/>
      <c r="D316" s="418" t="s">
        <v>1028</v>
      </c>
      <c r="E316" s="407"/>
      <c r="F316" s="94">
        <v>1</v>
      </c>
      <c r="G316" s="136">
        <f>IF(ISNUMBER(VLOOKUP(LEFT(D316,3),'Material editor'!$D$11:$H$110,'Material editor'!$E$8,0)),VLOOKUP(LEFT(D316,3),'Material editor'!$D$11:$H$110,'Material editor'!$E$8,0),"")</f>
        <v>4.4999999999999998E-2</v>
      </c>
      <c r="H316" s="137">
        <f>IF(ISNUMBER(VLOOKUP(LEFT(D316,3),'Material editor'!$D$11:$H$110,'Material editor'!$F$8,0)),VLOOKUP(LEFT(D316,3),'Material editor'!$D$11:$H$110,'Material editor'!$F$8,0),"")</f>
        <v>700.38883783406686</v>
      </c>
      <c r="I316" s="137">
        <f>IF(ISNUMBER(VLOOKUP(LEFT(D316,3),'Material editor'!$D$11:$H$110,'Material editor'!$G$8,0)),VLOOKUP(LEFT(D316,3),'Material editor'!$D$11:$H$110,'Material editor'!$G$8,0),"")</f>
        <v>-153.896768984163</v>
      </c>
      <c r="J316" s="137">
        <f>IF(ISNUMBER(VLOOKUP(LEFT(D316,3),'Material editor'!$D$11:$H$110,'Material editor'!$H$8,0)),VLOOKUP(LEFT(D316,3),'Material editor'!$D$11:$H$110,'Material editor'!$H$8,0),"")</f>
        <v>40</v>
      </c>
      <c r="K316" s="418"/>
      <c r="L316" s="407"/>
      <c r="M316" s="94"/>
      <c r="N316" s="136" t="str">
        <f>IF(ISNUMBER(VLOOKUP(LEFT(K316,3),'Material editor'!$D$11:$H$110,'Material editor'!$E$8,0)),VLOOKUP(LEFT(K316,3),'Material editor'!$D$11:$H$110,'Material editor'!$E$8,0),"")</f>
        <v/>
      </c>
      <c r="O316" s="137" t="str">
        <f>IF(ISNUMBER(VLOOKUP(LEFT(K316,3),'Material editor'!$D$11:$H$110,'Material editor'!$F$8,0)),VLOOKUP(LEFT(K316,3),'Material editor'!$D$11:$H$110,'Material editor'!$F$8,0),"")</f>
        <v/>
      </c>
      <c r="P316" s="137" t="str">
        <f>IF(ISNUMBER(VLOOKUP(LEFT(K316,3),'Material editor'!$D$11:$H$110,'Material editor'!$G$8,0)),VLOOKUP(LEFT(K316,3),'Material editor'!$D$11:$H$110,'Material editor'!$G$8,0),"")</f>
        <v/>
      </c>
      <c r="Q316" s="137" t="str">
        <f>IF(ISNUMBER(VLOOKUP(LEFT(K316,3),'Material editor'!$D$11:$H$110,'Material editor'!$H$8,0)),VLOOKUP(LEFT(K316,3),'Material editor'!$D$11:$H$110,'Material editor'!$H$8,0),"")</f>
        <v/>
      </c>
      <c r="R316" s="418"/>
      <c r="S316" s="407"/>
      <c r="T316" s="94"/>
      <c r="U316" s="136" t="str">
        <f>IF(ISNUMBER(VLOOKUP(LEFT(R316,3),'Material editor'!$D$11:$H$110,'Material editor'!$E$8,0)),VLOOKUP(LEFT(R316,3),'Material editor'!$D$11:$H$110,'Material editor'!$E$8,0),"")</f>
        <v/>
      </c>
      <c r="V316" s="137" t="str">
        <f>IF(ISNUMBER(VLOOKUP(LEFT(R316,3),'Material editor'!$D$11:$H$110,'Material editor'!$F$8,0)),VLOOKUP(LEFT(R316,3),'Material editor'!$D$11:$H$110,'Material editor'!$F$8,0),"")</f>
        <v/>
      </c>
      <c r="W316" s="137" t="str">
        <f>IF(ISNUMBER(VLOOKUP(LEFT(R316,3),'Material editor'!$D$11:$H$110,'Material editor'!$G$8,0)),VLOOKUP(LEFT(R316,3),'Material editor'!$D$11:$H$110,'Material editor'!$G$8,0),"")</f>
        <v/>
      </c>
      <c r="X316" s="137" t="str">
        <f>IF(ISNUMBER(VLOOKUP(LEFT(R316,3),'Material editor'!$D$11:$H$110,'Material editor'!$H$8,0)),VLOOKUP(LEFT(R316,3),'Material editor'!$D$11:$H$110,'Material editor'!$H$8,0),"")</f>
        <v/>
      </c>
      <c r="Y316" s="74"/>
      <c r="Z316" s="94">
        <v>271</v>
      </c>
      <c r="AA316" s="8"/>
      <c r="AB316" s="61"/>
      <c r="AC316" s="65"/>
      <c r="AD316" s="65"/>
      <c r="AE316" s="95">
        <f t="shared" si="224"/>
        <v>6.022222222222223</v>
      </c>
      <c r="AF316" s="95">
        <f t="shared" si="225"/>
        <v>6.022222222222223</v>
      </c>
      <c r="AG316" s="95">
        <f t="shared" si="226"/>
        <v>6.022222222222223</v>
      </c>
      <c r="AH316" s="65"/>
      <c r="AI316" s="95">
        <f t="shared" si="227"/>
        <v>4.4999999999999998E-2</v>
      </c>
      <c r="AJ316" s="95">
        <f t="shared" si="228"/>
        <v>4.4999999999999998E-2</v>
      </c>
      <c r="AK316" s="95">
        <f t="shared" si="229"/>
        <v>4.4999999999999998E-2</v>
      </c>
      <c r="AL316" s="65"/>
      <c r="AM316" s="96">
        <f t="shared" ref="AM316:AO316" si="236">AM315</f>
        <v>1</v>
      </c>
      <c r="AN316" s="96">
        <f t="shared" si="236"/>
        <v>0</v>
      </c>
      <c r="AO316" s="96">
        <f t="shared" si="236"/>
        <v>0</v>
      </c>
      <c r="AP316" s="65">
        <f t="shared" si="230"/>
        <v>6.022222222222223</v>
      </c>
      <c r="AQ316" s="65"/>
      <c r="AR316" s="65"/>
      <c r="AS316" s="65"/>
      <c r="AT316" s="95">
        <f>IF(ISNUMBER(H316),H316*F316*Z316/1000*Balance!$H$13/J316,0)</f>
        <v>94.902687526516061</v>
      </c>
      <c r="AU316" s="95">
        <f>IF(ISTEXT(K316),IF(ISNUMBER(O316),O316*M316*Z316/1000*Balance!$H$13/Q316,0),AT316)</f>
        <v>94.902687526516061</v>
      </c>
      <c r="AV316" s="95">
        <f>IF(ISTEXT(R316),IF(ISNUMBER(V316),V316*T316*Z316/1000*Balance!$H$13/X316,0),AT316)</f>
        <v>94.902687526516061</v>
      </c>
      <c r="AW316" s="65"/>
      <c r="AX316" s="95">
        <f>AT316*AX310</f>
        <v>94.902687526516061</v>
      </c>
      <c r="AY316" s="95">
        <f>AU316*AY310</f>
        <v>0</v>
      </c>
      <c r="AZ316" s="95">
        <f>AV316*AZ310</f>
        <v>0</v>
      </c>
      <c r="BA316" s="95">
        <f t="shared" si="232"/>
        <v>94.902687526516061</v>
      </c>
      <c r="BB316" s="65"/>
      <c r="BC316" s="95">
        <f>IF(ISNUMBER(I316),I316*F316*Z316/1000*Balance!$H$13/J316,0)</f>
        <v>-20.853012197354087</v>
      </c>
      <c r="BD316" s="95">
        <f>IF(ISTEXT(K316),IF(ISNUMBER(P316),P316*M316*Z316/1000*Balance!$H$13/Q316,0),BC316)</f>
        <v>-20.853012197354087</v>
      </c>
      <c r="BE316" s="95">
        <f>IF(ISTEXT(R316),IF(ISNUMBER(W316),W316*T316*Z316/1000*Balance!$H$13/X316,0),BC316)</f>
        <v>-20.853012197354087</v>
      </c>
      <c r="BF316" s="65"/>
      <c r="BG316" s="95">
        <f>BC316*BG310</f>
        <v>-20.853012197354087</v>
      </c>
      <c r="BH316" s="95">
        <f>BD316*BH310</f>
        <v>0</v>
      </c>
      <c r="BI316" s="95">
        <f>BE316*BI310</f>
        <v>0</v>
      </c>
      <c r="BJ316" s="95">
        <f t="shared" si="233"/>
        <v>-20.853012197354087</v>
      </c>
      <c r="BK316" s="65"/>
      <c r="BL316" s="65"/>
      <c r="BM316" s="65"/>
    </row>
    <row r="317" spans="2:65" outlineLevel="1" x14ac:dyDescent="0.25">
      <c r="B317" s="201"/>
      <c r="C317" s="91"/>
      <c r="D317" s="418" t="s">
        <v>1027</v>
      </c>
      <c r="E317" s="419"/>
      <c r="F317" s="94">
        <v>1</v>
      </c>
      <c r="G317" s="136">
        <f>IF(ISNUMBER(VLOOKUP(LEFT(D317,3),'Material editor'!$D$11:$H$110,'Material editor'!$E$8,0)),VLOOKUP(LEFT(D317,3),'Material editor'!$D$11:$H$110,'Material editor'!$E$8,0),"")</f>
        <v>1</v>
      </c>
      <c r="H317" s="137">
        <f>IF(ISNUMBER(VLOOKUP(LEFT(D317,3),'Material editor'!$D$11:$H$110,'Material editor'!$F$8,0)),VLOOKUP(LEFT(D317,3),'Material editor'!$D$11:$H$110,'Material editor'!$F$8,0),"")</f>
        <v>905.22046069906946</v>
      </c>
      <c r="I317" s="137">
        <f>IF(ISNUMBER(VLOOKUP(LEFT(D317,3),'Material editor'!$D$11:$H$110,'Material editor'!$G$8,0)),VLOOKUP(LEFT(D317,3),'Material editor'!$D$11:$H$110,'Material editor'!$G$8,0),"")</f>
        <v>354.91241395986202</v>
      </c>
      <c r="J317" s="137">
        <f>IF(ISNUMBER(VLOOKUP(LEFT(D317,3),'Material editor'!$D$11:$H$110,'Material editor'!$H$8,0)),VLOOKUP(LEFT(D317,3),'Material editor'!$D$11:$H$110,'Material editor'!$H$8,0),"")</f>
        <v>40</v>
      </c>
      <c r="K317" s="418"/>
      <c r="L317" s="407"/>
      <c r="M317" s="94"/>
      <c r="N317" s="136" t="str">
        <f>IF(ISNUMBER(VLOOKUP(LEFT(K317,3),'Material editor'!$D$11:$H$110,'Material editor'!$E$8,0)),VLOOKUP(LEFT(K317,3),'Material editor'!$D$11:$H$110,'Material editor'!$E$8,0),"")</f>
        <v/>
      </c>
      <c r="O317" s="137" t="str">
        <f>IF(ISNUMBER(VLOOKUP(LEFT(K317,3),'Material editor'!$D$11:$H$110,'Material editor'!$F$8,0)),VLOOKUP(LEFT(K317,3),'Material editor'!$D$11:$H$110,'Material editor'!$F$8,0),"")</f>
        <v/>
      </c>
      <c r="P317" s="137" t="str">
        <f>IF(ISNUMBER(VLOOKUP(LEFT(K317,3),'Material editor'!$D$11:$H$110,'Material editor'!$G$8,0)),VLOOKUP(LEFT(K317,3),'Material editor'!$D$11:$H$110,'Material editor'!$G$8,0),"")</f>
        <v/>
      </c>
      <c r="Q317" s="137" t="str">
        <f>IF(ISNUMBER(VLOOKUP(LEFT(K317,3),'Material editor'!$D$11:$H$110,'Material editor'!$H$8,0)),VLOOKUP(LEFT(K317,3),'Material editor'!$D$11:$H$110,'Material editor'!$H$8,0),"")</f>
        <v/>
      </c>
      <c r="R317" s="418"/>
      <c r="S317" s="407"/>
      <c r="T317" s="94"/>
      <c r="U317" s="136" t="str">
        <f>IF(ISNUMBER(VLOOKUP(LEFT(R317,3),'Material editor'!$D$11:$H$110,'Material editor'!$E$8,0)),VLOOKUP(LEFT(R317,3),'Material editor'!$D$11:$H$110,'Material editor'!$E$8,0),"")</f>
        <v/>
      </c>
      <c r="V317" s="137" t="str">
        <f>IF(ISNUMBER(VLOOKUP(LEFT(R317,3),'Material editor'!$D$11:$H$110,'Material editor'!$F$8,0)),VLOOKUP(LEFT(R317,3),'Material editor'!$D$11:$H$110,'Material editor'!$F$8,0),"")</f>
        <v/>
      </c>
      <c r="W317" s="137" t="str">
        <f>IF(ISNUMBER(VLOOKUP(LEFT(R317,3),'Material editor'!$D$11:$H$110,'Material editor'!$G$8,0)),VLOOKUP(LEFT(R317,3),'Material editor'!$D$11:$H$110,'Material editor'!$G$8,0),"")</f>
        <v/>
      </c>
      <c r="X317" s="137" t="str">
        <f>IF(ISNUMBER(VLOOKUP(LEFT(R317,3),'Material editor'!$D$11:$H$110,'Material editor'!$H$8,0)),VLOOKUP(LEFT(R317,3),'Material editor'!$D$11:$H$110,'Material editor'!$H$8,0),"")</f>
        <v/>
      </c>
      <c r="Y317" s="74"/>
      <c r="Z317" s="94">
        <v>20</v>
      </c>
      <c r="AA317" s="8"/>
      <c r="AB317" s="61"/>
      <c r="AC317" s="65"/>
      <c r="AD317" s="65"/>
      <c r="AE317" s="95">
        <f t="shared" si="224"/>
        <v>0.02</v>
      </c>
      <c r="AF317" s="95">
        <f t="shared" si="225"/>
        <v>0.02</v>
      </c>
      <c r="AG317" s="95">
        <f t="shared" si="226"/>
        <v>0.02</v>
      </c>
      <c r="AH317" s="65"/>
      <c r="AI317" s="95">
        <f t="shared" si="227"/>
        <v>1</v>
      </c>
      <c r="AJ317" s="95">
        <f t="shared" si="228"/>
        <v>1</v>
      </c>
      <c r="AK317" s="95">
        <f t="shared" si="229"/>
        <v>1</v>
      </c>
      <c r="AL317" s="65"/>
      <c r="AM317" s="96">
        <f t="shared" ref="AM317:AO317" si="237">AM316</f>
        <v>1</v>
      </c>
      <c r="AN317" s="96">
        <f t="shared" si="237"/>
        <v>0</v>
      </c>
      <c r="AO317" s="96">
        <f t="shared" si="237"/>
        <v>0</v>
      </c>
      <c r="AP317" s="65">
        <f t="shared" si="230"/>
        <v>0.02</v>
      </c>
      <c r="AQ317" s="65"/>
      <c r="AR317" s="65"/>
      <c r="AS317" s="66"/>
      <c r="AT317" s="95">
        <f>IF(ISNUMBER(H317),H317*F317*Z317/1000*Balance!$H$13/J317,0)</f>
        <v>9.0522046069906938</v>
      </c>
      <c r="AU317" s="95">
        <f>IF(ISTEXT(K317),IF(ISNUMBER(O317),O317*M317*Z317/1000*Balance!$H$13/Q317,0),AT317)</f>
        <v>9.0522046069906938</v>
      </c>
      <c r="AV317" s="95">
        <f>IF(ISTEXT(R317),IF(ISNUMBER(V317),V317*T317*Z317/1000*Balance!$H$13/X317,0),AT317)</f>
        <v>9.0522046069906938</v>
      </c>
      <c r="AW317" s="66"/>
      <c r="AX317" s="95">
        <f>AT317*AX310</f>
        <v>9.0522046069906938</v>
      </c>
      <c r="AY317" s="95">
        <f>AU317*AY310</f>
        <v>0</v>
      </c>
      <c r="AZ317" s="95">
        <f>AV317*AZ310</f>
        <v>0</v>
      </c>
      <c r="BA317" s="95">
        <f t="shared" si="232"/>
        <v>9.0522046069906938</v>
      </c>
      <c r="BB317" s="66"/>
      <c r="BC317" s="95">
        <f>IF(ISNUMBER(I317),I317*F317*Z317/1000*Balance!$H$13/J317,0)</f>
        <v>3.5491241395986202</v>
      </c>
      <c r="BD317" s="95">
        <f>IF(ISTEXT(K317),IF(ISNUMBER(P317),P317*M317*Z317/1000*Balance!$H$13/Q317,0),BC317)</f>
        <v>3.5491241395986202</v>
      </c>
      <c r="BE317" s="95">
        <f>IF(ISTEXT(R317),IF(ISNUMBER(W317),W317*T317*Z317/1000*Balance!$H$13/X317,0),BC317)</f>
        <v>3.5491241395986202</v>
      </c>
      <c r="BF317" s="66"/>
      <c r="BG317" s="95">
        <f>BC317*BG310</f>
        <v>3.5491241395986202</v>
      </c>
      <c r="BH317" s="95">
        <f>BD317*BH310</f>
        <v>0</v>
      </c>
      <c r="BI317" s="95">
        <f>BE317*BI310</f>
        <v>0</v>
      </c>
      <c r="BJ317" s="95">
        <f t="shared" si="233"/>
        <v>3.5491241395986202</v>
      </c>
      <c r="BK317" s="66"/>
      <c r="BL317" s="66"/>
      <c r="BM317" s="66"/>
    </row>
    <row r="318" spans="2:65" outlineLevel="1" x14ac:dyDescent="0.25">
      <c r="B318" s="201"/>
      <c r="C318" s="91"/>
      <c r="D318" s="418"/>
      <c r="E318" s="407"/>
      <c r="F318" s="94"/>
      <c r="G318" s="136" t="str">
        <f>IF(ISNUMBER(VLOOKUP(LEFT(D318,3),'Material editor'!$D$11:$H$110,'Material editor'!$E$8,0)),VLOOKUP(LEFT(D318,3),'Material editor'!$D$11:$H$110,'Material editor'!$E$8,0),"")</f>
        <v/>
      </c>
      <c r="H318" s="137" t="str">
        <f>IF(ISNUMBER(VLOOKUP(LEFT(D318,3),'Material editor'!$D$11:$H$110,'Material editor'!$F$8,0)),VLOOKUP(LEFT(D318,3),'Material editor'!$D$11:$H$110,'Material editor'!$F$8,0),"")</f>
        <v/>
      </c>
      <c r="I318" s="137" t="str">
        <f>IF(ISNUMBER(VLOOKUP(LEFT(D318,3),'Material editor'!$D$11:$H$110,'Material editor'!$G$8,0)),VLOOKUP(LEFT(D318,3),'Material editor'!$D$11:$H$110,'Material editor'!$G$8,0),"")</f>
        <v/>
      </c>
      <c r="J318" s="137" t="str">
        <f>IF(ISNUMBER(VLOOKUP(LEFT(D318,3),'Material editor'!$D$11:$H$110,'Material editor'!$H$8,0)),VLOOKUP(LEFT(D318,3),'Material editor'!$D$11:$H$110,'Material editor'!$H$8,0),"")</f>
        <v/>
      </c>
      <c r="K318" s="418"/>
      <c r="L318" s="407"/>
      <c r="M318" s="94"/>
      <c r="N318" s="136" t="str">
        <f>IF(ISNUMBER(VLOOKUP(LEFT(K318,3),'Material editor'!$D$11:$H$110,'Material editor'!$E$8,0)),VLOOKUP(LEFT(K318,3),'Material editor'!$D$11:$H$110,'Material editor'!$E$8,0),"")</f>
        <v/>
      </c>
      <c r="O318" s="137" t="str">
        <f>IF(ISNUMBER(VLOOKUP(LEFT(K318,3),'Material editor'!$D$11:$H$110,'Material editor'!$F$8,0)),VLOOKUP(LEFT(K318,3),'Material editor'!$D$11:$H$110,'Material editor'!$F$8,0),"")</f>
        <v/>
      </c>
      <c r="P318" s="137" t="str">
        <f>IF(ISNUMBER(VLOOKUP(LEFT(K318,3),'Material editor'!$D$11:$H$110,'Material editor'!$G$8,0)),VLOOKUP(LEFT(K318,3),'Material editor'!$D$11:$H$110,'Material editor'!$G$8,0),"")</f>
        <v/>
      </c>
      <c r="Q318" s="137" t="str">
        <f>IF(ISNUMBER(VLOOKUP(LEFT(K318,3),'Material editor'!$D$11:$H$110,'Material editor'!$H$8,0)),VLOOKUP(LEFT(K318,3),'Material editor'!$D$11:$H$110,'Material editor'!$H$8,0),"")</f>
        <v/>
      </c>
      <c r="R318" s="418"/>
      <c r="S318" s="407"/>
      <c r="T318" s="94"/>
      <c r="U318" s="136" t="str">
        <f>IF(ISNUMBER(VLOOKUP(LEFT(R318,3),'Material editor'!$D$11:$H$110,'Material editor'!$E$8,0)),VLOOKUP(LEFT(R318,3),'Material editor'!$D$11:$H$110,'Material editor'!$E$8,0),"")</f>
        <v/>
      </c>
      <c r="V318" s="137" t="str">
        <f>IF(ISNUMBER(VLOOKUP(LEFT(R318,3),'Material editor'!$D$11:$H$110,'Material editor'!$F$8,0)),VLOOKUP(LEFT(R318,3),'Material editor'!$D$11:$H$110,'Material editor'!$F$8,0),"")</f>
        <v/>
      </c>
      <c r="W318" s="137" t="str">
        <f>IF(ISNUMBER(VLOOKUP(LEFT(R318,3),'Material editor'!$D$11:$H$110,'Material editor'!$G$8,0)),VLOOKUP(LEFT(R318,3),'Material editor'!$D$11:$H$110,'Material editor'!$G$8,0),"")</f>
        <v/>
      </c>
      <c r="X318" s="137" t="str">
        <f>IF(ISNUMBER(VLOOKUP(LEFT(R318,3),'Material editor'!$D$11:$H$110,'Material editor'!$H$8,0)),VLOOKUP(LEFT(R318,3),'Material editor'!$D$11:$H$110,'Material editor'!$H$8,0),"")</f>
        <v/>
      </c>
      <c r="Y318" s="74"/>
      <c r="Z318" s="94"/>
      <c r="AA318" s="8"/>
      <c r="AB318" s="61"/>
      <c r="AC318" s="65"/>
      <c r="AD318" s="65"/>
      <c r="AE318" s="95">
        <f t="shared" si="224"/>
        <v>0</v>
      </c>
      <c r="AF318" s="95">
        <f t="shared" si="225"/>
        <v>0</v>
      </c>
      <c r="AG318" s="95">
        <f t="shared" si="226"/>
        <v>0</v>
      </c>
      <c r="AH318" s="65"/>
      <c r="AI318" s="95">
        <f t="shared" si="227"/>
        <v>0</v>
      </c>
      <c r="AJ318" s="95">
        <f t="shared" si="228"/>
        <v>0</v>
      </c>
      <c r="AK318" s="95">
        <f t="shared" si="229"/>
        <v>0</v>
      </c>
      <c r="AL318" s="65"/>
      <c r="AM318" s="96">
        <f t="shared" ref="AM318:AO318" si="238">AM317</f>
        <v>1</v>
      </c>
      <c r="AN318" s="96">
        <f t="shared" si="238"/>
        <v>0</v>
      </c>
      <c r="AO318" s="96">
        <f t="shared" si="238"/>
        <v>0</v>
      </c>
      <c r="AP318" s="65">
        <f t="shared" si="230"/>
        <v>0</v>
      </c>
      <c r="AQ318" s="65"/>
      <c r="AR318" s="65"/>
      <c r="AS318" s="66"/>
      <c r="AT318" s="95">
        <f>IF(ISNUMBER(H318),H318*F318*Z318/1000*Balance!$H$13/J318,0)</f>
        <v>0</v>
      </c>
      <c r="AU318" s="95">
        <f>IF(ISTEXT(K318),IF(ISNUMBER(O318),O318*M318*Z318/1000*Balance!$H$13/Q318,0),AT318)</f>
        <v>0</v>
      </c>
      <c r="AV318" s="95">
        <f>IF(ISTEXT(R318),IF(ISNUMBER(V318),V318*T318*Z318/1000*Balance!$H$13/X318,0),AT318)</f>
        <v>0</v>
      </c>
      <c r="AW318" s="66"/>
      <c r="AX318" s="95">
        <f>AT318*AX310</f>
        <v>0</v>
      </c>
      <c r="AY318" s="95">
        <f>AU318*AY310</f>
        <v>0</v>
      </c>
      <c r="AZ318" s="95">
        <f>AV318*AZ310</f>
        <v>0</v>
      </c>
      <c r="BA318" s="95">
        <f t="shared" si="232"/>
        <v>0</v>
      </c>
      <c r="BB318" s="66"/>
      <c r="BC318" s="95">
        <f>IF(ISNUMBER(I318),I318*F318*Z318/1000*Balance!$H$13/J318,0)</f>
        <v>0</v>
      </c>
      <c r="BD318" s="95">
        <f>IF(ISTEXT(K318),IF(ISNUMBER(P318),P318*M318*Z318/1000*Balance!$H$13/Q318,0),BC318)</f>
        <v>0</v>
      </c>
      <c r="BE318" s="95">
        <f>IF(ISTEXT(R318),IF(ISNUMBER(W318),W318*T318*Z318/1000*Balance!$H$13/X318,0),BC318)</f>
        <v>0</v>
      </c>
      <c r="BF318" s="66"/>
      <c r="BG318" s="95">
        <f>BC318*BG310</f>
        <v>0</v>
      </c>
      <c r="BH318" s="95">
        <f>BD318*BH310</f>
        <v>0</v>
      </c>
      <c r="BI318" s="95">
        <f>BE318*BI310</f>
        <v>0</v>
      </c>
      <c r="BJ318" s="95">
        <f t="shared" si="233"/>
        <v>0</v>
      </c>
      <c r="BK318" s="66"/>
      <c r="BL318" s="66"/>
      <c r="BM318" s="66"/>
    </row>
    <row r="319" spans="2:65" outlineLevel="1" x14ac:dyDescent="0.25">
      <c r="B319" s="201"/>
      <c r="C319" s="91"/>
      <c r="D319" s="418"/>
      <c r="E319" s="407"/>
      <c r="F319" s="94"/>
      <c r="G319" s="136" t="str">
        <f>IF(ISNUMBER(VLOOKUP(LEFT(D319,3),'Material editor'!$D$11:$H$110,'Material editor'!$E$8,0)),VLOOKUP(LEFT(D319,3),'Material editor'!$D$11:$H$110,'Material editor'!$E$8,0),"")</f>
        <v/>
      </c>
      <c r="H319" s="137" t="str">
        <f>IF(ISNUMBER(VLOOKUP(LEFT(D319,3),'Material editor'!$D$11:$H$110,'Material editor'!$F$8,0)),VLOOKUP(LEFT(D319,3),'Material editor'!$D$11:$H$110,'Material editor'!$F$8,0),"")</f>
        <v/>
      </c>
      <c r="I319" s="137" t="str">
        <f>IF(ISNUMBER(VLOOKUP(LEFT(D319,3),'Material editor'!$D$11:$H$110,'Material editor'!$G$8,0)),VLOOKUP(LEFT(D319,3),'Material editor'!$D$11:$H$110,'Material editor'!$G$8,0),"")</f>
        <v/>
      </c>
      <c r="J319" s="137" t="str">
        <f>IF(ISNUMBER(VLOOKUP(LEFT(D319,3),'Material editor'!$D$11:$H$110,'Material editor'!$H$8,0)),VLOOKUP(LEFT(D319,3),'Material editor'!$D$11:$H$110,'Material editor'!$H$8,0),"")</f>
        <v/>
      </c>
      <c r="K319" s="418"/>
      <c r="L319" s="407"/>
      <c r="M319" s="94"/>
      <c r="N319" s="136" t="str">
        <f>IF(ISNUMBER(VLOOKUP(LEFT(K319,3),'Material editor'!$D$11:$H$110,'Material editor'!$E$8,0)),VLOOKUP(LEFT(K319,3),'Material editor'!$D$11:$H$110,'Material editor'!$E$8,0),"")</f>
        <v/>
      </c>
      <c r="O319" s="137" t="str">
        <f>IF(ISNUMBER(VLOOKUP(LEFT(K319,3),'Material editor'!$D$11:$H$110,'Material editor'!$F$8,0)),VLOOKUP(LEFT(K319,3),'Material editor'!$D$11:$H$110,'Material editor'!$F$8,0),"")</f>
        <v/>
      </c>
      <c r="P319" s="137" t="str">
        <f>IF(ISNUMBER(VLOOKUP(LEFT(K319,3),'Material editor'!$D$11:$H$110,'Material editor'!$G$8,0)),VLOOKUP(LEFT(K319,3),'Material editor'!$D$11:$H$110,'Material editor'!$G$8,0),"")</f>
        <v/>
      </c>
      <c r="Q319" s="137" t="str">
        <f>IF(ISNUMBER(VLOOKUP(LEFT(K319,3),'Material editor'!$D$11:$H$110,'Material editor'!$H$8,0)),VLOOKUP(LEFT(K319,3),'Material editor'!$D$11:$H$110,'Material editor'!$H$8,0),"")</f>
        <v/>
      </c>
      <c r="R319" s="418"/>
      <c r="S319" s="407"/>
      <c r="T319" s="94"/>
      <c r="U319" s="136" t="str">
        <f>IF(ISNUMBER(VLOOKUP(LEFT(R319,3),'Material editor'!$D$11:$H$110,'Material editor'!$E$8,0)),VLOOKUP(LEFT(R319,3),'Material editor'!$D$11:$H$110,'Material editor'!$E$8,0),"")</f>
        <v/>
      </c>
      <c r="V319" s="137" t="str">
        <f>IF(ISNUMBER(VLOOKUP(LEFT(R319,3),'Material editor'!$D$11:$H$110,'Material editor'!$F$8,0)),VLOOKUP(LEFT(R319,3),'Material editor'!$D$11:$H$110,'Material editor'!$F$8,0),"")</f>
        <v/>
      </c>
      <c r="W319" s="137" t="str">
        <f>IF(ISNUMBER(VLOOKUP(LEFT(R319,3),'Material editor'!$D$11:$H$110,'Material editor'!$G$8,0)),VLOOKUP(LEFT(R319,3),'Material editor'!$D$11:$H$110,'Material editor'!$G$8,0),"")</f>
        <v/>
      </c>
      <c r="X319" s="137" t="str">
        <f>IF(ISNUMBER(VLOOKUP(LEFT(R319,3),'Material editor'!$D$11:$H$110,'Material editor'!$H$8,0)),VLOOKUP(LEFT(R319,3),'Material editor'!$D$11:$H$110,'Material editor'!$H$8,0),"")</f>
        <v/>
      </c>
      <c r="Y319" s="74"/>
      <c r="Z319" s="94"/>
      <c r="AA319" s="8"/>
      <c r="AB319" s="61"/>
      <c r="AC319" s="65"/>
      <c r="AD319" s="65"/>
      <c r="AE319" s="95">
        <f t="shared" si="224"/>
        <v>0</v>
      </c>
      <c r="AF319" s="95">
        <f t="shared" si="225"/>
        <v>0</v>
      </c>
      <c r="AG319" s="95">
        <f t="shared" si="226"/>
        <v>0</v>
      </c>
      <c r="AH319" s="65"/>
      <c r="AI319" s="95">
        <f>IF(ISNUMBER(G319),G319,0)</f>
        <v>0</v>
      </c>
      <c r="AJ319" s="95">
        <f t="shared" si="228"/>
        <v>0</v>
      </c>
      <c r="AK319" s="95">
        <f t="shared" si="229"/>
        <v>0</v>
      </c>
      <c r="AL319" s="65"/>
      <c r="AM319" s="96">
        <f t="shared" ref="AM319:AO319" si="239">AM318</f>
        <v>1</v>
      </c>
      <c r="AN319" s="96">
        <f t="shared" si="239"/>
        <v>0</v>
      </c>
      <c r="AO319" s="96">
        <f t="shared" si="239"/>
        <v>0</v>
      </c>
      <c r="AP319" s="65">
        <f t="shared" si="230"/>
        <v>0</v>
      </c>
      <c r="AQ319" s="65"/>
      <c r="AR319" s="65"/>
      <c r="AS319" s="66"/>
      <c r="AT319" s="95">
        <f>IF(ISNUMBER(H319),H319*F319*Z319/1000*Balance!$H$13/J319,0)</f>
        <v>0</v>
      </c>
      <c r="AU319" s="95">
        <f>IF(ISTEXT(K319),IF(ISNUMBER(O319),O319*M319*Z319/1000*Balance!$H$13/Q319,0),AT319)</f>
        <v>0</v>
      </c>
      <c r="AV319" s="95">
        <f>IF(ISTEXT(R319),IF(ISNUMBER(V319),V319*T319*Z319/1000*Balance!$H$13/X319,0),AT319)</f>
        <v>0</v>
      </c>
      <c r="AW319" s="66"/>
      <c r="AX319" s="95">
        <f>AT319*AX310</f>
        <v>0</v>
      </c>
      <c r="AY319" s="95">
        <f>AU319*AY310</f>
        <v>0</v>
      </c>
      <c r="AZ319" s="95">
        <f>AV319*AZ310</f>
        <v>0</v>
      </c>
      <c r="BA319" s="95">
        <f t="shared" si="232"/>
        <v>0</v>
      </c>
      <c r="BB319" s="66"/>
      <c r="BC319" s="95">
        <f>IF(ISNUMBER(I319),I319*F319*Z319/1000*Balance!$H$13/J319,0)</f>
        <v>0</v>
      </c>
      <c r="BD319" s="95">
        <f>IF(ISTEXT(K319),IF(ISNUMBER(P319),P319*M319*Z319/1000*Balance!$H$13/Q319,0),BC319)</f>
        <v>0</v>
      </c>
      <c r="BE319" s="95">
        <f>IF(ISTEXT(R319),IF(ISNUMBER(W319),W319*T319*Z319/1000*Balance!$H$13/X319,0),BC319)</f>
        <v>0</v>
      </c>
      <c r="BF319" s="66"/>
      <c r="BG319" s="95">
        <f>BC319*BG310</f>
        <v>0</v>
      </c>
      <c r="BH319" s="95">
        <f>BD319*BH310</f>
        <v>0</v>
      </c>
      <c r="BI319" s="95">
        <f>BE319*BI310</f>
        <v>0</v>
      </c>
      <c r="BJ319" s="95">
        <f t="shared" si="233"/>
        <v>0</v>
      </c>
      <c r="BK319" s="66"/>
      <c r="BL319" s="66"/>
      <c r="BM319" s="66"/>
    </row>
    <row r="320" spans="2:65" outlineLevel="1" x14ac:dyDescent="0.25">
      <c r="B320" s="201"/>
      <c r="C320" s="77"/>
      <c r="D320" s="125">
        <f>MAX(0,1-K320-R320)</f>
        <v>1</v>
      </c>
      <c r="E320" s="126" t="s">
        <v>141</v>
      </c>
      <c r="F320" s="126"/>
      <c r="H320" s="97"/>
      <c r="I320" s="97"/>
      <c r="J320" s="97"/>
      <c r="K320" s="100"/>
      <c r="L320" s="126" t="s">
        <v>138</v>
      </c>
      <c r="M320" s="126"/>
      <c r="R320" s="100"/>
      <c r="S320" s="126" t="s">
        <v>139</v>
      </c>
      <c r="T320" s="126"/>
      <c r="V320" s="67"/>
      <c r="Y320" s="74"/>
      <c r="Z320" s="5" t="s">
        <v>140</v>
      </c>
      <c r="AA320" s="8"/>
      <c r="AB320" s="61"/>
      <c r="AC320" s="98"/>
      <c r="AD320" s="98" t="s">
        <v>124</v>
      </c>
      <c r="AE320" s="99">
        <f>IF(ISNUMBER($G312),1/($D307+SUM(AE312:AE319)+$D308),0)</f>
        <v>0.1031535514294135</v>
      </c>
      <c r="AF320" s="99">
        <f>IF(ISNUMBER($G312),1/($D307+SUM(AF312:AF319)+$D308),0)</f>
        <v>0.1031535514294135</v>
      </c>
      <c r="AG320" s="99">
        <f>IF(ISNUMBER($G312),1/($D307+SUM(AG312:AG319)+$D308),0)</f>
        <v>0.1031535514294135</v>
      </c>
      <c r="AH320" s="65"/>
      <c r="AI320" s="65"/>
      <c r="AJ320" s="65"/>
      <c r="AK320" s="65"/>
      <c r="AL320" s="65"/>
      <c r="AM320" s="65"/>
      <c r="AN320" s="65"/>
      <c r="AO320" s="65"/>
      <c r="AP320" s="65"/>
      <c r="AQ320" s="65"/>
      <c r="AR320" s="65"/>
      <c r="AS320" s="66"/>
      <c r="AT320" s="66"/>
      <c r="AU320" s="66"/>
      <c r="AV320" s="66"/>
      <c r="AW320" s="66"/>
      <c r="AX320" s="66"/>
      <c r="AY320" s="66"/>
      <c r="AZ320" s="66"/>
      <c r="BA320" s="66"/>
      <c r="BB320" s="66"/>
      <c r="BC320" s="66"/>
      <c r="BD320" s="66"/>
      <c r="BE320" s="66"/>
      <c r="BF320" s="66"/>
      <c r="BG320" s="66"/>
      <c r="BH320" s="66"/>
      <c r="BI320" s="66"/>
      <c r="BJ320" s="66"/>
      <c r="BK320" s="66"/>
      <c r="BL320" s="66"/>
      <c r="BM320" s="66"/>
    </row>
    <row r="321" spans="2:65" outlineLevel="1" x14ac:dyDescent="0.25">
      <c r="B321" s="201"/>
      <c r="C321" s="77"/>
      <c r="D321" s="41"/>
      <c r="E321" s="116" t="s">
        <v>150</v>
      </c>
      <c r="F321" s="116"/>
      <c r="H321" s="68"/>
      <c r="I321" s="68"/>
      <c r="J321" s="68"/>
      <c r="K321" s="157" t="str">
        <f>IF(AE327&lt;=0.1,"","Der Fehler der U-Wert-Berechnung liegt möglicherweise über 10 %. Wärmebrückenberechnung?")</f>
        <v/>
      </c>
      <c r="L321" s="68"/>
      <c r="M321" s="68"/>
      <c r="N321" s="68"/>
      <c r="R321" s="5"/>
      <c r="S321" s="5"/>
      <c r="T321" s="5"/>
      <c r="U321" s="68"/>
      <c r="V321" s="68"/>
      <c r="X321" s="68"/>
      <c r="Y321" s="5"/>
      <c r="Z321" s="189">
        <f>IF(ISNUMBER(Z312),SUM(Z312:Z320)/10,"")</f>
        <v>57</v>
      </c>
      <c r="AA321" s="10" t="s">
        <v>8</v>
      </c>
      <c r="AB321" s="61"/>
      <c r="AC321" s="98"/>
      <c r="AD321" s="98" t="s">
        <v>125</v>
      </c>
      <c r="AE321" s="101">
        <f>1-SUM(AF321:AG321)</f>
        <v>1</v>
      </c>
      <c r="AF321" s="102">
        <f>K320</f>
        <v>0</v>
      </c>
      <c r="AG321" s="102">
        <f>R320</f>
        <v>0</v>
      </c>
      <c r="AH321" s="98"/>
      <c r="AI321" s="65"/>
      <c r="AJ321" s="65"/>
      <c r="AK321" s="65"/>
      <c r="AL321" s="65"/>
      <c r="AM321" s="65"/>
      <c r="AN321" s="65"/>
      <c r="AO321" s="65"/>
      <c r="AP321" s="65"/>
      <c r="AQ321" s="65"/>
      <c r="AR321" s="65" t="s">
        <v>393</v>
      </c>
      <c r="AS321" s="148"/>
      <c r="AT321" s="175" t="s">
        <v>393</v>
      </c>
      <c r="AU321" s="65" t="s">
        <v>366</v>
      </c>
      <c r="AV321" s="65" t="s">
        <v>355</v>
      </c>
      <c r="AW321" s="66"/>
      <c r="AX321" s="65" t="s">
        <v>394</v>
      </c>
      <c r="AY321" s="65" t="s">
        <v>356</v>
      </c>
      <c r="AZ321" s="66"/>
      <c r="BA321" s="66"/>
      <c r="BB321" s="66"/>
      <c r="BC321" s="66"/>
      <c r="BD321" s="66"/>
      <c r="BE321" s="66"/>
      <c r="BF321" s="66"/>
      <c r="BG321" s="66"/>
      <c r="BH321" s="66"/>
      <c r="BI321" s="66"/>
      <c r="BJ321" s="66"/>
      <c r="BK321" s="66"/>
      <c r="BL321" s="66"/>
      <c r="BM321" s="66"/>
    </row>
    <row r="322" spans="2:65" outlineLevel="1" x14ac:dyDescent="0.25">
      <c r="B322" s="201"/>
      <c r="C322" s="77"/>
      <c r="D322" s="68"/>
      <c r="E322" s="68"/>
      <c r="F322" s="68"/>
      <c r="G322" s="68"/>
      <c r="H322" s="68"/>
      <c r="I322" s="68"/>
      <c r="J322" s="68"/>
      <c r="K322" s="68"/>
      <c r="L322" s="68"/>
      <c r="M322" s="68"/>
      <c r="N322" s="68"/>
      <c r="O322" s="68"/>
      <c r="P322" s="68"/>
      <c r="Q322" s="68"/>
      <c r="R322" s="68"/>
      <c r="T322" s="68"/>
      <c r="U322" s="68"/>
      <c r="V322" s="68"/>
      <c r="W322" s="68"/>
      <c r="X322" s="68"/>
      <c r="Y322" s="5"/>
      <c r="Z322" s="67"/>
      <c r="AA322" s="8"/>
      <c r="AB322" s="61"/>
      <c r="AC322" s="101"/>
      <c r="AD322" s="101"/>
      <c r="AE322" s="99"/>
      <c r="AF322" s="99"/>
      <c r="AG322" s="99"/>
      <c r="AH322" s="65"/>
      <c r="AI322" s="65"/>
      <c r="AJ322" s="65"/>
      <c r="AK322" s="65"/>
      <c r="AL322" s="65"/>
      <c r="AM322" s="65"/>
      <c r="AN322" s="65"/>
      <c r="AO322" s="65"/>
      <c r="AP322" s="65"/>
      <c r="AQ322" s="65"/>
      <c r="AR322" s="65"/>
      <c r="AS322" s="65"/>
      <c r="AT322" s="101" t="s">
        <v>367</v>
      </c>
      <c r="AU322" s="176">
        <f>Z323*F307*Balance!$H$6</f>
        <v>8.1491305629236663</v>
      </c>
      <c r="AV322" s="176">
        <f>AU322*Balance!$H$13</f>
        <v>162.98261125847333</v>
      </c>
      <c r="AW322" s="66"/>
      <c r="AX322" s="66"/>
      <c r="AY322" s="66"/>
      <c r="AZ322" s="66"/>
      <c r="BA322" s="101" t="s">
        <v>351</v>
      </c>
      <c r="BB322" s="66"/>
      <c r="BC322" s="66"/>
      <c r="BD322" s="66"/>
      <c r="BE322" s="66"/>
      <c r="BF322" s="66"/>
      <c r="BG322" s="66"/>
      <c r="BH322" s="66"/>
      <c r="BI322" s="66"/>
      <c r="BJ322" s="66"/>
      <c r="BK322" s="66"/>
      <c r="BL322" s="66"/>
      <c r="BM322" s="66"/>
    </row>
    <row r="323" spans="2:65" ht="18" outlineLevel="1" x14ac:dyDescent="0.35">
      <c r="B323" s="201"/>
      <c r="C323" s="77"/>
      <c r="H323" s="68"/>
      <c r="I323" s="68"/>
      <c r="J323" s="67"/>
      <c r="K323" s="192" t="s">
        <v>397</v>
      </c>
      <c r="L323" s="67"/>
      <c r="M323" s="67"/>
      <c r="N323" s="67"/>
      <c r="O323" s="67"/>
      <c r="P323" s="67"/>
      <c r="Q323" s="67"/>
      <c r="R323" s="14" t="s">
        <v>398</v>
      </c>
      <c r="U323" s="68"/>
      <c r="V323" s="68"/>
      <c r="W323" s="68"/>
      <c r="X323" s="68"/>
      <c r="Y323" s="127" t="s">
        <v>154</v>
      </c>
      <c r="Z323" s="193">
        <f>IF(ISNUMBER(G312),IF(AE327&lt;0.1,1/AE323,1/(AP323*1.1))+D321,"")</f>
        <v>0.1031535514294135</v>
      </c>
      <c r="AA323" s="8" t="s">
        <v>10</v>
      </c>
      <c r="AB323" s="61"/>
      <c r="AC323" s="101"/>
      <c r="AD323" s="101" t="s">
        <v>126</v>
      </c>
      <c r="AE323" s="95">
        <f>IF(ISNUMBER(G312),AVERAGE(AG323,AP323),0)</f>
        <v>9.694285714285714</v>
      </c>
      <c r="AF323" s="101" t="s">
        <v>127</v>
      </c>
      <c r="AG323" s="95">
        <f>IF(ISNUMBER(G312),1/SUMPRODUCT(AE321:AG321,AE320:AG320),0)</f>
        <v>9.694285714285714</v>
      </c>
      <c r="AH323" s="65"/>
      <c r="AI323" s="65"/>
      <c r="AJ323" s="65"/>
      <c r="AK323" s="65"/>
      <c r="AL323" s="103"/>
      <c r="AM323" s="65"/>
      <c r="AN323" s="65"/>
      <c r="AO323" s="101" t="s">
        <v>128</v>
      </c>
      <c r="AP323" s="95">
        <f>$D307+SUM(AP312:AP319)+$D308</f>
        <v>9.694285714285714</v>
      </c>
      <c r="AQ323" s="65"/>
      <c r="AR323" s="65"/>
      <c r="AS323" s="152" t="str">
        <f>Data!$D$4</f>
        <v>Heat pump</v>
      </c>
      <c r="AT323" s="177" t="s">
        <v>374</v>
      </c>
      <c r="AU323" s="179">
        <f>AU322/(Balance!$H$17*Balance!$H$18*Balance!$H$19)*Balance!$H$22</f>
        <v>5.4327537086157776</v>
      </c>
      <c r="AV323" s="176">
        <f>AU323*Balance!$H$13</f>
        <v>108.65507417231555</v>
      </c>
      <c r="AW323" s="66"/>
      <c r="AX323" s="186">
        <f ca="1">AU322/(Balance!$H$17*Balance!$H$18*Balance!$H$19)*Balance!$G$22/1000</f>
        <v>1.0261868116274244</v>
      </c>
      <c r="AY323" s="176">
        <f ca="1">AX323*Balance!$H$13</f>
        <v>20.523736232548487</v>
      </c>
      <c r="AZ323" s="101"/>
      <c r="BA323" s="95">
        <f>SUM(BA312:BA319)</f>
        <v>104.94735635752865</v>
      </c>
      <c r="BB323" s="66" t="s">
        <v>355</v>
      </c>
      <c r="BC323" s="66"/>
      <c r="BD323" s="66"/>
      <c r="BE323" s="66"/>
      <c r="BF323" s="66"/>
      <c r="BG323" s="66"/>
      <c r="BH323" s="66"/>
      <c r="BI323" s="101" t="s">
        <v>149</v>
      </c>
      <c r="BJ323" s="95">
        <f>SUM(BJ312:BJ319)</f>
        <v>-17.095990396228256</v>
      </c>
      <c r="BK323" s="66" t="s">
        <v>357</v>
      </c>
      <c r="BL323" s="66"/>
      <c r="BM323" s="66"/>
    </row>
    <row r="324" spans="2:65" ht="15.75" outlineLevel="1" x14ac:dyDescent="0.25">
      <c r="B324" s="201"/>
      <c r="C324" s="77"/>
      <c r="D324" s="155"/>
      <c r="E324" s="188" t="s">
        <v>395</v>
      </c>
      <c r="F324" s="116"/>
      <c r="H324" s="68"/>
      <c r="I324" s="68"/>
      <c r="J324" s="67"/>
      <c r="K324" s="190">
        <f>BA323</f>
        <v>104.94735635752865</v>
      </c>
      <c r="L324" s="128" t="s">
        <v>400</v>
      </c>
      <c r="M324" s="67"/>
      <c r="N324" s="67"/>
      <c r="O324" s="67"/>
      <c r="P324" s="67"/>
      <c r="Q324" s="67"/>
      <c r="R324" s="190">
        <f>BJ323</f>
        <v>-17.095990396228256</v>
      </c>
      <c r="S324" s="128" t="s">
        <v>399</v>
      </c>
      <c r="U324" s="68"/>
      <c r="V324" s="68"/>
      <c r="W324" s="68"/>
      <c r="X324" s="68"/>
      <c r="Y324" s="67"/>
      <c r="Z324" s="67"/>
      <c r="AA324" s="8"/>
      <c r="AB324" s="61"/>
      <c r="AC324" s="101"/>
      <c r="AD324" s="101"/>
      <c r="AE324" s="154"/>
      <c r="AF324" s="101"/>
      <c r="AG324" s="154"/>
      <c r="AH324" s="65"/>
      <c r="AI324" s="65"/>
      <c r="AJ324" s="65"/>
      <c r="AK324" s="65"/>
      <c r="AL324" s="103"/>
      <c r="AM324" s="65"/>
      <c r="AN324" s="65"/>
      <c r="AO324" s="101"/>
      <c r="AP324" s="154"/>
      <c r="AQ324" s="65"/>
      <c r="AR324" s="65"/>
      <c r="AS324" s="152" t="str">
        <f>Data!$D$5</f>
        <v>Direct electric</v>
      </c>
      <c r="AT324" s="177" t="s">
        <v>374</v>
      </c>
      <c r="AU324" s="179">
        <f>AU322/Balance!$H$18*Balance!$H$22</f>
        <v>14.6684350132626</v>
      </c>
      <c r="AV324" s="176">
        <f>AU324*Balance!$H$13</f>
        <v>293.36870026525202</v>
      </c>
      <c r="AW324" s="66"/>
      <c r="AX324" s="186">
        <f ca="1">AU322/Balance!$H$18*Balance!$G$22/1000</f>
        <v>2.7707043913940463</v>
      </c>
      <c r="AY324" s="176">
        <f ca="1">AX324*Balance!$H$13</f>
        <v>55.414087827880927</v>
      </c>
      <c r="AZ324" s="101"/>
      <c r="BA324" s="154"/>
      <c r="BB324" s="66"/>
      <c r="BC324" s="66"/>
      <c r="BD324" s="66"/>
      <c r="BE324" s="66"/>
      <c r="BF324" s="66"/>
      <c r="BG324" s="66"/>
      <c r="BH324" s="66"/>
      <c r="BI324" s="101"/>
      <c r="BJ324" s="154"/>
      <c r="BK324" s="66"/>
      <c r="BL324" s="66"/>
      <c r="BM324" s="66"/>
    </row>
    <row r="325" spans="2:65" ht="15.75" outlineLevel="1" x14ac:dyDescent="0.25">
      <c r="B325" s="201"/>
      <c r="C325" s="77"/>
      <c r="D325" s="155"/>
      <c r="E325" s="188" t="s">
        <v>396</v>
      </c>
      <c r="F325" s="116"/>
      <c r="H325" s="68"/>
      <c r="I325" s="68"/>
      <c r="J325" s="67"/>
      <c r="K325" s="190">
        <f>AV327</f>
        <v>108.65507417231555</v>
      </c>
      <c r="L325" s="128" t="s">
        <v>401</v>
      </c>
      <c r="M325" s="67"/>
      <c r="N325" s="67"/>
      <c r="O325" s="67"/>
      <c r="P325" s="67"/>
      <c r="Q325" s="67"/>
      <c r="R325" s="190">
        <f ca="1">AY327</f>
        <v>20.523736232548487</v>
      </c>
      <c r="S325" s="128" t="s">
        <v>358</v>
      </c>
      <c r="U325" s="68"/>
      <c r="V325" s="68"/>
      <c r="W325" s="68"/>
      <c r="X325" s="68"/>
      <c r="Y325" s="67"/>
      <c r="Z325" s="67"/>
      <c r="AA325" s="8"/>
      <c r="AB325" s="61"/>
      <c r="AC325" s="101"/>
      <c r="AD325" s="101"/>
      <c r="AE325" s="154"/>
      <c r="AF325" s="101"/>
      <c r="AG325" s="154"/>
      <c r="AH325" s="65"/>
      <c r="AI325" s="65"/>
      <c r="AJ325" s="65"/>
      <c r="AK325" s="65"/>
      <c r="AL325" s="103"/>
      <c r="AM325" s="65"/>
      <c r="AN325" s="65"/>
      <c r="AO325" s="101"/>
      <c r="AP325" s="154"/>
      <c r="AQ325" s="65"/>
      <c r="AR325" s="65"/>
      <c r="AS325" s="152" t="str">
        <f>Data!$D$6</f>
        <v>Gas boiler</v>
      </c>
      <c r="AT325" s="177" t="s">
        <v>374</v>
      </c>
      <c r="AU325" s="179">
        <f>AU322/(Balance!$H$18*Balance!$H$19)*Balance!H$23</f>
        <v>15.845531650129351</v>
      </c>
      <c r="AV325" s="176">
        <f>AU325*Balance!$H$13</f>
        <v>316.91063300258702</v>
      </c>
      <c r="AW325" s="66"/>
      <c r="AX325" s="186">
        <f ca="1">AU322/(Balance!$H$18*Balance!$H$19)*Balance!$G$23/1000</f>
        <v>2.2582577419742162</v>
      </c>
      <c r="AY325" s="176">
        <f ca="1">AX325*Balance!$H$13</f>
        <v>45.165154839484323</v>
      </c>
      <c r="AZ325" s="101"/>
      <c r="BA325" s="154"/>
      <c r="BB325" s="66"/>
      <c r="BC325" s="66"/>
      <c r="BD325" s="66"/>
      <c r="BE325" s="66"/>
      <c r="BF325" s="66"/>
      <c r="BG325" s="66"/>
      <c r="BH325" s="66"/>
      <c r="BI325" s="101"/>
      <c r="BJ325" s="154"/>
      <c r="BK325" s="66"/>
      <c r="BL325" s="66"/>
      <c r="BM325" s="66"/>
    </row>
    <row r="326" spans="2:65" ht="15.75" outlineLevel="1" x14ac:dyDescent="0.25">
      <c r="B326" s="201"/>
      <c r="C326" s="77"/>
      <c r="D326" s="155"/>
      <c r="E326" s="188" t="s">
        <v>352</v>
      </c>
      <c r="F326" s="116"/>
      <c r="H326" s="68"/>
      <c r="I326" s="68"/>
      <c r="J326" s="67"/>
      <c r="K326" s="191">
        <f>K325+K324</f>
        <v>213.60243052984418</v>
      </c>
      <c r="L326" s="128" t="s">
        <v>355</v>
      </c>
      <c r="M326" s="67"/>
      <c r="N326" s="67"/>
      <c r="O326" s="67"/>
      <c r="P326" s="67"/>
      <c r="Q326" s="67"/>
      <c r="R326" s="191">
        <f ca="1">R325+R324</f>
        <v>3.4277458363202307</v>
      </c>
      <c r="S326" s="128" t="s">
        <v>358</v>
      </c>
      <c r="T326" s="153"/>
      <c r="U326" s="68"/>
      <c r="V326" s="68"/>
      <c r="W326" s="68"/>
      <c r="X326" s="68"/>
      <c r="Y326" s="67"/>
      <c r="Z326" s="67"/>
      <c r="AA326" s="8"/>
      <c r="AB326" s="61"/>
      <c r="AC326" s="101"/>
      <c r="AD326" s="101"/>
      <c r="AE326" s="154"/>
      <c r="AF326" s="101"/>
      <c r="AG326" s="154"/>
      <c r="AH326" s="65"/>
      <c r="AI326" s="65"/>
      <c r="AJ326" s="65"/>
      <c r="AK326" s="65"/>
      <c r="AL326" s="103"/>
      <c r="AM326" s="65"/>
      <c r="AN326" s="65"/>
      <c r="AO326" s="101"/>
      <c r="AP326" s="154"/>
      <c r="AQ326" s="65"/>
      <c r="AR326" s="65"/>
      <c r="AS326" s="152" t="str">
        <f>Data!$D$7</f>
        <v>Biomass</v>
      </c>
      <c r="AT326" s="177" t="s">
        <v>374</v>
      </c>
      <c r="AU326" s="179">
        <f>AU322/(Balance!$H$18*Balance!$H$19)*Balance!$H$24</f>
        <v>9.9600484657955928</v>
      </c>
      <c r="AV326" s="176">
        <f>AU326*Balance!$H$13</f>
        <v>199.20096931591186</v>
      </c>
      <c r="AW326" s="66"/>
      <c r="AX326" s="186">
        <f ca="1">AU322/(Balance!$H$18*Balance!$H$19)*Balance!$G$24/1000</f>
        <v>0.19241002718014213</v>
      </c>
      <c r="AY326" s="176">
        <f ca="1">AX326*Balance!$H$13</f>
        <v>3.8482005436028426</v>
      </c>
      <c r="AZ326" s="101"/>
      <c r="BA326" s="154"/>
      <c r="BB326" s="66"/>
      <c r="BC326" s="66"/>
      <c r="BD326" s="66"/>
      <c r="BE326" s="66"/>
      <c r="BF326" s="66"/>
      <c r="BG326" s="66"/>
      <c r="BH326" s="66"/>
      <c r="BI326" s="101"/>
      <c r="BJ326" s="154"/>
      <c r="BK326" s="66"/>
      <c r="BL326" s="66"/>
      <c r="BM326" s="66"/>
    </row>
    <row r="327" spans="2:65" outlineLevel="1" x14ac:dyDescent="0.25">
      <c r="B327" s="201"/>
      <c r="C327" s="104"/>
      <c r="D327" s="105"/>
      <c r="E327" s="106"/>
      <c r="F327" s="106"/>
      <c r="G327" s="106"/>
      <c r="H327" s="107"/>
      <c r="I327" s="107"/>
      <c r="J327" s="107"/>
      <c r="K327" s="106"/>
      <c r="L327" s="106"/>
      <c r="M327" s="106"/>
      <c r="N327" s="106"/>
      <c r="O327" s="106"/>
      <c r="P327" s="106"/>
      <c r="Q327" s="106"/>
      <c r="R327" s="106"/>
      <c r="S327" s="106"/>
      <c r="T327" s="106"/>
      <c r="U327" s="106"/>
      <c r="V327" s="106"/>
      <c r="W327" s="106"/>
      <c r="X327" s="106"/>
      <c r="Y327" s="106"/>
      <c r="Z327" s="108"/>
      <c r="AA327" s="109"/>
      <c r="AB327" s="61"/>
      <c r="AC327" s="101"/>
      <c r="AD327" s="101" t="s">
        <v>129</v>
      </c>
      <c r="AE327" s="110">
        <f>IF(ISNUMBER(G312),(AG323-AP323)/(2*AE323),0)</f>
        <v>0</v>
      </c>
      <c r="AF327" s="111"/>
      <c r="AG327" s="65"/>
      <c r="AH327" s="101"/>
      <c r="AI327" s="65"/>
      <c r="AJ327" s="65"/>
      <c r="AK327" s="65"/>
      <c r="AL327" s="65"/>
      <c r="AM327" s="65"/>
      <c r="AN327" s="65"/>
      <c r="AO327" s="65"/>
      <c r="AP327" s="66"/>
      <c r="AQ327" s="65"/>
      <c r="AR327" s="65"/>
      <c r="AS327" s="178" t="str">
        <f>Balance!$G$16</f>
        <v>Heat pump</v>
      </c>
      <c r="AT327" s="66"/>
      <c r="AU327" s="185">
        <f>VLOOKUP(AS327,AS323:AU326,3,0)</f>
        <v>5.4327537086157776</v>
      </c>
      <c r="AV327" s="185">
        <f>VLOOKUP(AS327,AS323:AV326,4,0)</f>
        <v>108.65507417231555</v>
      </c>
      <c r="AW327" s="185"/>
      <c r="AX327" s="187">
        <f ca="1">VLOOKUP(AS327,AS323:AX326,6,0)</f>
        <v>1.0261868116274244</v>
      </c>
      <c r="AY327" s="185">
        <f ca="1">VLOOKUP(AS327,AS323:AY326,7,0)</f>
        <v>20.523736232548487</v>
      </c>
      <c r="AZ327" s="66"/>
      <c r="BA327" s="66"/>
      <c r="BB327" s="66"/>
      <c r="BC327" s="66"/>
      <c r="BD327" s="66"/>
      <c r="BE327" s="66"/>
      <c r="BF327" s="66"/>
      <c r="BG327" s="66"/>
      <c r="BH327" s="66"/>
      <c r="BI327" s="66"/>
      <c r="BJ327" s="66"/>
      <c r="BK327" s="66"/>
      <c r="BL327" s="66"/>
      <c r="BM327" s="66"/>
    </row>
    <row r="328" spans="2:65" outlineLevel="1" x14ac:dyDescent="0.25">
      <c r="B328" s="201"/>
    </row>
    <row r="329" spans="2:65" outlineLevel="1" x14ac:dyDescent="0.25">
      <c r="B329" s="201"/>
      <c r="C329" s="62"/>
      <c r="D329" s="114" t="s">
        <v>131</v>
      </c>
      <c r="E329" s="115" t="s">
        <v>132</v>
      </c>
      <c r="F329" s="115"/>
      <c r="G329" s="63"/>
      <c r="H329" s="63"/>
      <c r="I329" s="63"/>
      <c r="J329" s="63"/>
      <c r="K329" s="63"/>
      <c r="L329" s="63"/>
      <c r="M329" s="63"/>
      <c r="N329" s="63"/>
      <c r="O329" s="63"/>
      <c r="P329" s="63"/>
      <c r="Q329" s="63"/>
      <c r="R329" s="63"/>
      <c r="S329" s="63"/>
      <c r="T329" s="63"/>
      <c r="U329" s="63"/>
      <c r="V329" s="63"/>
      <c r="W329" s="63"/>
      <c r="X329" s="63"/>
      <c r="Y329" s="63"/>
      <c r="Z329" s="63"/>
      <c r="AA329" s="64"/>
      <c r="AB329" s="61"/>
      <c r="AC329" s="65" t="s">
        <v>402</v>
      </c>
      <c r="AD329" s="65"/>
      <c r="AE329" s="65"/>
      <c r="AF329" s="65"/>
      <c r="AG329" s="65"/>
      <c r="AH329" s="65"/>
      <c r="AI329" s="65"/>
      <c r="AJ329" s="65"/>
      <c r="AK329" s="65"/>
      <c r="AL329" s="65"/>
      <c r="AM329" s="65"/>
      <c r="AN329" s="65"/>
      <c r="AO329" s="65"/>
      <c r="AP329" s="65"/>
      <c r="AQ329" s="66"/>
      <c r="AR329" s="65" t="s">
        <v>405</v>
      </c>
      <c r="AS329" s="65"/>
      <c r="AT329" s="65"/>
      <c r="AU329" s="65"/>
      <c r="AV329" s="65"/>
      <c r="AW329" s="65"/>
      <c r="AX329" s="65"/>
      <c r="AY329" s="65"/>
      <c r="AZ329" s="65"/>
      <c r="BA329" s="65"/>
      <c r="BB329" s="65" t="s">
        <v>403</v>
      </c>
      <c r="BC329" s="65"/>
      <c r="BD329" s="65"/>
      <c r="BE329" s="65"/>
      <c r="BF329" s="65"/>
      <c r="BG329" s="65"/>
      <c r="BH329" s="65"/>
      <c r="BI329" s="65"/>
      <c r="BJ329" s="65"/>
      <c r="BK329" s="65"/>
      <c r="BL329" s="65"/>
      <c r="BM329" s="65"/>
    </row>
    <row r="330" spans="2:65" ht="15.75" x14ac:dyDescent="0.25">
      <c r="B330" s="201"/>
      <c r="C330" s="69"/>
      <c r="D330" s="70">
        <v>13</v>
      </c>
      <c r="E330" s="71" t="s">
        <v>980</v>
      </c>
      <c r="F330" s="92"/>
      <c r="G330" s="72"/>
      <c r="H330" s="72"/>
      <c r="I330" s="72"/>
      <c r="J330" s="72"/>
      <c r="K330" s="72"/>
      <c r="L330" s="72"/>
      <c r="M330" s="72"/>
      <c r="N330" s="72"/>
      <c r="O330" s="72"/>
      <c r="P330" s="72"/>
      <c r="Q330" s="72"/>
      <c r="R330" s="72"/>
      <c r="S330" s="72"/>
      <c r="T330" s="72"/>
      <c r="U330" s="72"/>
      <c r="V330" s="72"/>
      <c r="W330" s="72"/>
      <c r="X330" s="72"/>
      <c r="Y330" s="72"/>
      <c r="Z330" s="73"/>
      <c r="AA330" s="75"/>
      <c r="AB330" s="61"/>
      <c r="AC330" s="65"/>
      <c r="AD330" s="65"/>
      <c r="AE330" s="76" t="s">
        <v>114</v>
      </c>
      <c r="AF330" s="65"/>
      <c r="AG330" s="65"/>
      <c r="AH330" s="65"/>
      <c r="AI330" s="65"/>
      <c r="AJ330" s="65"/>
      <c r="AK330" s="65"/>
      <c r="AL330" s="65"/>
      <c r="AM330" s="65"/>
      <c r="AN330" s="65"/>
      <c r="AO330" s="65"/>
      <c r="AP330" s="66"/>
      <c r="AQ330" s="65"/>
      <c r="AR330" s="65" t="s">
        <v>404</v>
      </c>
      <c r="AS330" s="65"/>
      <c r="AT330" s="65"/>
      <c r="AU330" s="65"/>
      <c r="AV330" s="65"/>
      <c r="AW330" s="65"/>
      <c r="AX330" s="65"/>
      <c r="AY330" s="65"/>
      <c r="AZ330" s="65"/>
      <c r="BA330" s="65"/>
      <c r="BB330" s="65" t="s">
        <v>407</v>
      </c>
      <c r="BC330" s="65"/>
      <c r="BD330" s="65"/>
      <c r="BE330" s="65"/>
      <c r="BF330" s="65"/>
      <c r="BG330" s="65"/>
      <c r="BH330" s="65"/>
      <c r="BI330" s="65"/>
      <c r="BJ330" s="65"/>
      <c r="BK330" s="65"/>
      <c r="BL330" s="65"/>
      <c r="BM330" s="65"/>
    </row>
    <row r="331" spans="2:65" outlineLevel="1" x14ac:dyDescent="0.25">
      <c r="B331" s="201"/>
      <c r="C331" s="77"/>
      <c r="D331" s="116" t="s">
        <v>133</v>
      </c>
      <c r="E331" s="78"/>
      <c r="F331" s="78"/>
      <c r="AA331" s="75"/>
      <c r="AB331" s="61"/>
      <c r="AC331" s="65"/>
      <c r="AD331" s="65"/>
      <c r="AE331" s="65"/>
      <c r="AF331" s="65"/>
      <c r="AG331" s="65"/>
      <c r="AH331" s="65"/>
      <c r="AI331" s="65"/>
      <c r="AJ331" s="65"/>
      <c r="AK331" s="65"/>
      <c r="AL331" s="65"/>
      <c r="AM331" s="65"/>
      <c r="AN331" s="65"/>
      <c r="AO331" s="65"/>
      <c r="AP331" s="66"/>
      <c r="AQ331" s="65"/>
      <c r="AR331" s="65"/>
      <c r="AS331" s="65"/>
      <c r="AT331" s="65"/>
      <c r="AU331" s="65"/>
      <c r="AV331" s="65"/>
      <c r="AW331" s="65"/>
      <c r="AX331" s="65"/>
      <c r="AY331" s="65"/>
      <c r="AZ331" s="65"/>
      <c r="BA331" s="65"/>
      <c r="BB331" s="65"/>
      <c r="BC331" s="65"/>
      <c r="BD331" s="65"/>
      <c r="BE331" s="65"/>
      <c r="BF331" s="65"/>
      <c r="BG331" s="65"/>
      <c r="BH331" s="65"/>
      <c r="BI331" s="65"/>
      <c r="BJ331" s="65"/>
      <c r="BK331" s="65"/>
      <c r="BL331" s="65"/>
      <c r="BM331" s="65"/>
    </row>
    <row r="332" spans="2:65" outlineLevel="1" x14ac:dyDescent="0.25">
      <c r="B332" s="201"/>
      <c r="C332" s="77"/>
      <c r="D332" s="79">
        <v>0.13</v>
      </c>
      <c r="E332" s="2" t="s">
        <v>151</v>
      </c>
      <c r="F332" s="138">
        <v>1</v>
      </c>
      <c r="G332" s="61"/>
      <c r="H332" s="74"/>
      <c r="I332" s="74"/>
      <c r="J332" s="74"/>
      <c r="K332" s="2" t="s">
        <v>921</v>
      </c>
      <c r="L332" s="74"/>
      <c r="M332" s="74"/>
      <c r="N332" s="74"/>
      <c r="AA332" s="75"/>
      <c r="AB332" s="61"/>
      <c r="AC332" s="65"/>
      <c r="AD332" s="65"/>
      <c r="AE332" s="65" t="s">
        <v>115</v>
      </c>
      <c r="AF332" s="65"/>
      <c r="AG332" s="65"/>
      <c r="AH332" s="65"/>
      <c r="AI332" s="65" t="s">
        <v>116</v>
      </c>
      <c r="AJ332" s="65"/>
      <c r="AK332" s="65"/>
      <c r="AL332" s="65"/>
      <c r="AM332" s="65"/>
      <c r="AN332" s="65"/>
      <c r="AO332" s="65"/>
      <c r="AP332" s="66"/>
      <c r="AQ332" s="65"/>
      <c r="AR332" s="65"/>
      <c r="AS332" s="65"/>
      <c r="AT332" s="65"/>
      <c r="AU332" s="65"/>
      <c r="AV332" s="65"/>
      <c r="AW332" s="65"/>
      <c r="AX332" s="65"/>
      <c r="AY332" s="65"/>
      <c r="AZ332" s="65"/>
      <c r="BA332" s="65"/>
      <c r="BB332" s="65"/>
      <c r="BC332" s="65"/>
      <c r="BD332" s="65"/>
      <c r="BE332" s="65"/>
      <c r="BF332" s="65"/>
      <c r="BG332" s="65"/>
      <c r="BH332" s="65"/>
      <c r="BI332" s="65"/>
      <c r="BJ332" s="65"/>
      <c r="BK332" s="65"/>
      <c r="BL332" s="65"/>
      <c r="BM332" s="65"/>
    </row>
    <row r="333" spans="2:65" ht="15.75" outlineLevel="1" x14ac:dyDescent="0.25">
      <c r="B333" s="201"/>
      <c r="C333" s="77"/>
      <c r="D333" s="79">
        <v>0.04</v>
      </c>
      <c r="E333" s="2" t="s">
        <v>152</v>
      </c>
      <c r="F333" s="2"/>
      <c r="G333" s="61"/>
      <c r="H333" s="74"/>
      <c r="I333" s="74"/>
      <c r="J333" s="74"/>
      <c r="K333" s="74"/>
      <c r="L333" s="74"/>
      <c r="M333" s="74"/>
      <c r="N333" s="74"/>
      <c r="AA333" s="75"/>
      <c r="AB333" s="61"/>
      <c r="AC333" s="65"/>
      <c r="AD333" s="65"/>
      <c r="AE333" s="80" t="s">
        <v>117</v>
      </c>
      <c r="AF333" s="81"/>
      <c r="AG333" s="81"/>
      <c r="AH333" s="65"/>
      <c r="AI333" s="82" t="s">
        <v>118</v>
      </c>
      <c r="AJ333" s="81"/>
      <c r="AK333" s="81"/>
      <c r="AL333" s="65"/>
      <c r="AM333" s="83" t="s">
        <v>119</v>
      </c>
      <c r="AN333" s="84"/>
      <c r="AO333" s="85"/>
      <c r="AP333" s="65"/>
      <c r="AQ333" s="65"/>
      <c r="AR333" s="65"/>
      <c r="AS333" s="65"/>
      <c r="AT333" s="65"/>
      <c r="AU333" s="65"/>
      <c r="AV333" s="65"/>
      <c r="AW333" s="65"/>
      <c r="AX333" s="65"/>
      <c r="AY333" s="65"/>
      <c r="AZ333" s="65"/>
      <c r="BA333" s="65"/>
      <c r="BB333" s="65"/>
      <c r="BC333" s="65"/>
      <c r="BD333" s="65"/>
      <c r="BE333" s="65"/>
      <c r="BF333" s="65"/>
      <c r="BG333" s="65"/>
      <c r="BH333" s="65"/>
      <c r="BI333" s="65"/>
      <c r="BJ333" s="65"/>
      <c r="BK333" s="65"/>
      <c r="BL333" s="65"/>
      <c r="BM333" s="65"/>
    </row>
    <row r="334" spans="2:65" ht="15.75" outlineLevel="1" x14ac:dyDescent="0.25">
      <c r="B334" s="201"/>
      <c r="C334" s="77"/>
      <c r="D334" s="74"/>
      <c r="E334" s="61"/>
      <c r="F334" s="61"/>
      <c r="G334" s="61"/>
      <c r="H334" s="74"/>
      <c r="I334" s="74"/>
      <c r="J334" s="74"/>
      <c r="K334" s="74"/>
      <c r="L334" s="74"/>
      <c r="M334" s="74"/>
      <c r="N334" s="74"/>
      <c r="O334" s="1"/>
      <c r="P334" s="1"/>
      <c r="Q334" s="1"/>
      <c r="AA334" s="75"/>
      <c r="AB334" s="61"/>
      <c r="AC334" s="65"/>
      <c r="AD334" s="65"/>
      <c r="AE334" s="117"/>
      <c r="AF334" s="117"/>
      <c r="AG334" s="117"/>
      <c r="AH334" s="65"/>
      <c r="AI334" s="118"/>
      <c r="AJ334" s="117"/>
      <c r="AK334" s="117"/>
      <c r="AL334" s="65"/>
      <c r="AM334" s="119"/>
      <c r="AN334" s="119"/>
      <c r="AO334" s="119"/>
      <c r="AP334" s="65"/>
      <c r="AQ334" s="65"/>
      <c r="AR334" s="65"/>
      <c r="AS334" s="65"/>
      <c r="AT334" s="148" t="s">
        <v>351</v>
      </c>
      <c r="AU334" s="65"/>
      <c r="AV334" s="65"/>
      <c r="AW334" s="65"/>
      <c r="AX334" s="148"/>
      <c r="AY334" s="65"/>
      <c r="AZ334" s="65"/>
      <c r="BA334" s="65"/>
      <c r="BB334" s="65"/>
      <c r="BC334" s="148" t="s">
        <v>406</v>
      </c>
      <c r="BD334" s="65"/>
      <c r="BE334" s="65"/>
      <c r="BF334" s="65"/>
      <c r="BG334" s="148"/>
      <c r="BH334" s="65"/>
      <c r="BI334" s="65"/>
      <c r="BJ334" s="65"/>
      <c r="BK334" s="65"/>
      <c r="BL334" s="65"/>
      <c r="BM334" s="65"/>
    </row>
    <row r="335" spans="2:65" ht="22.5" outlineLevel="1" x14ac:dyDescent="0.25">
      <c r="B335" s="201"/>
      <c r="C335" s="77"/>
      <c r="D335" s="121" t="str">
        <f>$D$35</f>
        <v>Area section 1</v>
      </c>
      <c r="E335" s="61"/>
      <c r="F335" s="122" t="str">
        <f>$F$35</f>
        <v>Count?</v>
      </c>
      <c r="G335" s="122" t="str">
        <f>$G$35</f>
        <v>Thermal conductivity</v>
      </c>
      <c r="H335" s="122" t="str">
        <f>$H$35</f>
        <v>Manfacturing energy</v>
      </c>
      <c r="I335" s="122" t="str">
        <f>$I$35</f>
        <v>GWP</v>
      </c>
      <c r="J335" s="122" t="str">
        <f>$J$35</f>
        <v>Service life</v>
      </c>
      <c r="K335" s="121" t="str">
        <f>$K$35</f>
        <v>Area section 2 (optional)</v>
      </c>
      <c r="L335" s="121"/>
      <c r="M335" s="122" t="str">
        <f>$M$35</f>
        <v>Count?</v>
      </c>
      <c r="N335" s="122" t="str">
        <f>$N$35</f>
        <v>Thermal conductivity</v>
      </c>
      <c r="O335" s="122" t="str">
        <f>$O$35</f>
        <v>Manfacturing energy</v>
      </c>
      <c r="P335" s="122" t="str">
        <f>$P$35</f>
        <v>GWP</v>
      </c>
      <c r="Q335" s="122" t="str">
        <f>$Q$35</f>
        <v>Service life</v>
      </c>
      <c r="R335" s="121" t="str">
        <f>$R$35</f>
        <v>Area section 3 (optional)</v>
      </c>
      <c r="S335" s="74"/>
      <c r="T335" s="122" t="str">
        <f>$T$35</f>
        <v>Count?</v>
      </c>
      <c r="U335" s="122" t="str">
        <f>$U$35</f>
        <v>Thermal conductivity</v>
      </c>
      <c r="V335" s="122" t="str">
        <f>$V$35</f>
        <v>Manfacturing energy</v>
      </c>
      <c r="W335" s="122" t="str">
        <f>$W$35</f>
        <v>GWP</v>
      </c>
      <c r="X335" s="122" t="str">
        <f>$X$35</f>
        <v>Service life</v>
      </c>
      <c r="Y335" s="74"/>
      <c r="Z335" s="122" t="str">
        <f>$Z$35</f>
        <v>Thickness</v>
      </c>
      <c r="AA335" s="75"/>
      <c r="AB335" s="61"/>
      <c r="AC335" s="65"/>
      <c r="AD335" s="65"/>
      <c r="AE335" s="86"/>
      <c r="AF335" s="87"/>
      <c r="AG335" s="65"/>
      <c r="AH335" s="65"/>
      <c r="AI335" s="65"/>
      <c r="AJ335" s="65"/>
      <c r="AK335" s="65"/>
      <c r="AL335" s="65"/>
      <c r="AM335" s="65"/>
      <c r="AN335" s="65"/>
      <c r="AO335" s="65"/>
      <c r="AP335" s="65"/>
      <c r="AQ335" s="65"/>
      <c r="AR335" s="65"/>
      <c r="AS335" s="65"/>
      <c r="AT335" s="148"/>
      <c r="AU335" s="65"/>
      <c r="AV335" s="65"/>
      <c r="AW335" s="151" t="s">
        <v>353</v>
      </c>
      <c r="AX335" s="149">
        <f>D345</f>
        <v>0.90400000000000003</v>
      </c>
      <c r="AY335" s="150">
        <f>K345</f>
        <v>9.6000000000000002E-2</v>
      </c>
      <c r="AZ335" s="150">
        <f>R345</f>
        <v>0</v>
      </c>
      <c r="BA335" s="156">
        <f>SUM(AX335:AZ335)</f>
        <v>1</v>
      </c>
      <c r="BB335" s="65"/>
      <c r="BC335" s="148"/>
      <c r="BD335" s="65"/>
      <c r="BE335" s="65"/>
      <c r="BF335" s="151" t="s">
        <v>353</v>
      </c>
      <c r="BG335" s="149">
        <f>AX335</f>
        <v>0.90400000000000003</v>
      </c>
      <c r="BH335" s="149">
        <f t="shared" ref="BH335" si="240">AY335</f>
        <v>9.6000000000000002E-2</v>
      </c>
      <c r="BI335" s="149">
        <f t="shared" ref="BI335" si="241">AZ335</f>
        <v>0</v>
      </c>
      <c r="BJ335" s="156">
        <f>SUM(BG335:BI335)</f>
        <v>1</v>
      </c>
      <c r="BK335" s="65"/>
      <c r="BL335" s="65"/>
      <c r="BM335" s="65"/>
    </row>
    <row r="336" spans="2:65" outlineLevel="1" x14ac:dyDescent="0.25">
      <c r="B336" s="201"/>
      <c r="C336" s="77"/>
      <c r="E336" s="61"/>
      <c r="F336" s="120" t="s">
        <v>985</v>
      </c>
      <c r="G336" s="4" t="s">
        <v>135</v>
      </c>
      <c r="H336" s="120" t="s">
        <v>144</v>
      </c>
      <c r="I336" s="120" t="s">
        <v>148</v>
      </c>
      <c r="J336" s="120" t="s">
        <v>146</v>
      </c>
      <c r="K336" s="88"/>
      <c r="L336" s="88"/>
      <c r="M336" s="88"/>
      <c r="N336" s="4" t="s">
        <v>135</v>
      </c>
      <c r="O336" s="120" t="s">
        <v>144</v>
      </c>
      <c r="P336" s="120" t="s">
        <v>148</v>
      </c>
      <c r="Q336" s="120" t="s">
        <v>146</v>
      </c>
      <c r="R336" s="88"/>
      <c r="S336" s="88"/>
      <c r="T336" s="88"/>
      <c r="U336" s="4" t="s">
        <v>135</v>
      </c>
      <c r="V336" s="120" t="s">
        <v>144</v>
      </c>
      <c r="W336" s="120" t="s">
        <v>148</v>
      </c>
      <c r="X336" s="120" t="s">
        <v>146</v>
      </c>
      <c r="Y336" s="74"/>
      <c r="Z336" s="120" t="str">
        <f>$Z$36</f>
        <v>[mm]</v>
      </c>
      <c r="AA336" s="75"/>
      <c r="AB336" s="61"/>
      <c r="AC336" s="65"/>
      <c r="AD336" s="65"/>
      <c r="AE336" s="89" t="s">
        <v>120</v>
      </c>
      <c r="AF336" s="89" t="s">
        <v>121</v>
      </c>
      <c r="AG336" s="89" t="s">
        <v>122</v>
      </c>
      <c r="AH336" s="65"/>
      <c r="AI336" s="89" t="s">
        <v>120</v>
      </c>
      <c r="AJ336" s="89" t="s">
        <v>121</v>
      </c>
      <c r="AK336" s="89" t="s">
        <v>122</v>
      </c>
      <c r="AL336" s="90"/>
      <c r="AM336" s="89" t="s">
        <v>120</v>
      </c>
      <c r="AN336" s="89" t="s">
        <v>121</v>
      </c>
      <c r="AO336" s="89" t="s">
        <v>122</v>
      </c>
      <c r="AP336" s="90" t="s">
        <v>123</v>
      </c>
      <c r="AQ336" s="65"/>
      <c r="AR336" s="65"/>
      <c r="AS336" s="65"/>
      <c r="AT336" s="89" t="s">
        <v>120</v>
      </c>
      <c r="AU336" s="89" t="s">
        <v>121</v>
      </c>
      <c r="AV336" s="89" t="s">
        <v>122</v>
      </c>
      <c r="AW336" s="65"/>
      <c r="AX336" s="89" t="s">
        <v>120</v>
      </c>
      <c r="AY336" s="89" t="s">
        <v>121</v>
      </c>
      <c r="AZ336" s="89" t="s">
        <v>122</v>
      </c>
      <c r="BA336" s="89" t="s">
        <v>354</v>
      </c>
      <c r="BB336" s="65"/>
      <c r="BC336" s="89" t="s">
        <v>120</v>
      </c>
      <c r="BD336" s="89" t="s">
        <v>121</v>
      </c>
      <c r="BE336" s="89" t="s">
        <v>122</v>
      </c>
      <c r="BF336" s="65"/>
      <c r="BG336" s="89" t="s">
        <v>120</v>
      </c>
      <c r="BH336" s="89" t="s">
        <v>121</v>
      </c>
      <c r="BI336" s="89" t="s">
        <v>122</v>
      </c>
      <c r="BJ336" s="89" t="s">
        <v>354</v>
      </c>
      <c r="BK336" s="65"/>
      <c r="BL336" s="65"/>
      <c r="BM336" s="65"/>
    </row>
    <row r="337" spans="2:65" outlineLevel="1" x14ac:dyDescent="0.25">
      <c r="B337" s="201"/>
      <c r="C337" s="91"/>
      <c r="D337" s="418" t="s">
        <v>1029</v>
      </c>
      <c r="E337" s="419"/>
      <c r="F337" s="94">
        <v>1</v>
      </c>
      <c r="G337" s="136">
        <f>IF(ISNUMBER(VLOOKUP(LEFT(D337,3),'Material editor'!$D$11:$H$110,'Material editor'!$E$8,0)),VLOOKUP(LEFT(D337,3),'Material editor'!$D$11:$H$110,'Material editor'!$E$8,0),"")</f>
        <v>0.25</v>
      </c>
      <c r="H337" s="137">
        <f>IF(ISNUMBER(VLOOKUP(LEFT(D337,3),'Material editor'!$D$11:$H$110,'Material editor'!$F$8,0)),VLOOKUP(LEFT(D337,3),'Material editor'!$D$11:$H$110,'Material editor'!$F$8,0),"")</f>
        <v>1070.8637995403842</v>
      </c>
      <c r="I337" s="137">
        <f>IF(ISNUMBER(VLOOKUP(LEFT(D337,3),'Material editor'!$D$11:$H$110,'Material editor'!$G$8,0)),VLOOKUP(LEFT(D337,3),'Material editor'!$D$11:$H$110,'Material editor'!$G$8,0),"")</f>
        <v>138.92307717733519</v>
      </c>
      <c r="J337" s="137">
        <f>IF(ISNUMBER(VLOOKUP(LEFT(D337,3),'Material editor'!$D$11:$H$110,'Material editor'!$H$8,0)),VLOOKUP(LEFT(D337,3),'Material editor'!$D$11:$H$110,'Material editor'!$H$8,0),"")</f>
        <v>40</v>
      </c>
      <c r="K337" s="422"/>
      <c r="L337" s="419"/>
      <c r="M337" s="94"/>
      <c r="N337" s="136" t="str">
        <f>IF(ISNUMBER(VLOOKUP(LEFT(K337,3),'Material editor'!$D$11:$H$110,'Material editor'!$E$8,0)),VLOOKUP(LEFT(K337,3),'Material editor'!$D$11:$H$110,'Material editor'!$E$8,0),"")</f>
        <v/>
      </c>
      <c r="O337" s="137" t="str">
        <f>IF(ISNUMBER(VLOOKUP(LEFT(K337,3),'Material editor'!$D$11:$H$110,'Material editor'!$F$8,0)),VLOOKUP(LEFT(K337,3),'Material editor'!$D$11:$H$110,'Material editor'!$F$8,0),"")</f>
        <v/>
      </c>
      <c r="P337" s="137" t="str">
        <f>IF(ISNUMBER(VLOOKUP(LEFT(K337,3),'Material editor'!$D$11:$H$110,'Material editor'!$G$8,0)),VLOOKUP(LEFT(K337,3),'Material editor'!$D$11:$H$110,'Material editor'!$G$8,0),"")</f>
        <v/>
      </c>
      <c r="Q337" s="137" t="str">
        <f>IF(ISNUMBER(VLOOKUP(LEFT(K337,3),'Material editor'!$D$11:$H$110,'Material editor'!$H$8,0)),VLOOKUP(LEFT(K337,3),'Material editor'!$D$11:$H$110,'Material editor'!$H$8,0),"")</f>
        <v/>
      </c>
      <c r="R337" s="418"/>
      <c r="S337" s="407"/>
      <c r="T337" s="94"/>
      <c r="U337" s="136" t="str">
        <f>IF(ISNUMBER(VLOOKUP(LEFT(R337,3),'Material editor'!$D$11:$H$110,'Material editor'!$E$8,0)),VLOOKUP(LEFT(R337,3),'Material editor'!$D$11:$H$110,'Material editor'!$E$8,0),"")</f>
        <v/>
      </c>
      <c r="V337" s="137" t="str">
        <f>IF(ISNUMBER(VLOOKUP(LEFT(R337,3),'Material editor'!$D$11:$H$110,'Material editor'!$F$8,0)),VLOOKUP(LEFT(R337,3),'Material editor'!$D$11:$H$110,'Material editor'!$F$8,0),"")</f>
        <v/>
      </c>
      <c r="W337" s="137" t="str">
        <f>IF(ISNUMBER(VLOOKUP(LEFT(R337,3),'Material editor'!$D$11:$H$110,'Material editor'!$G$8,0)),VLOOKUP(LEFT(R337,3),'Material editor'!$D$11:$H$110,'Material editor'!$G$8,0),"")</f>
        <v/>
      </c>
      <c r="X337" s="137" t="str">
        <f>IF(ISNUMBER(VLOOKUP(LEFT(R337,3),'Material editor'!$D$11:$H$110,'Material editor'!$H$8,0)),VLOOKUP(LEFT(R337,3),'Material editor'!$D$11:$H$110,'Material editor'!$H$8,0),"")</f>
        <v/>
      </c>
      <c r="Y337" s="74"/>
      <c r="Z337" s="94">
        <v>10</v>
      </c>
      <c r="AA337" s="8"/>
      <c r="AB337" s="61"/>
      <c r="AC337" s="65"/>
      <c r="AD337" s="65"/>
      <c r="AE337" s="95">
        <f t="shared" ref="AE337:AE344" si="242">IF(ISNUMBER(G337),IF(G337&gt;0,$Z337/1000/G337,0),0)</f>
        <v>0.04</v>
      </c>
      <c r="AF337" s="95">
        <f t="shared" ref="AF337:AF344" si="243">IF(ISNUMBER(N337),IF(N337&gt;0,$Z337/1000/N337,0),$AE337)</f>
        <v>0.04</v>
      </c>
      <c r="AG337" s="95">
        <f t="shared" ref="AG337:AG344" si="244">IF(ISNUMBER(U337),IF(U337&gt;0,$Z337/1000/U337,0),$AE337)</f>
        <v>0.04</v>
      </c>
      <c r="AH337" s="65"/>
      <c r="AI337" s="95">
        <f t="shared" ref="AI337:AI343" si="245">IF(ISNUMBER(G337),G337,0)</f>
        <v>0.25</v>
      </c>
      <c r="AJ337" s="95">
        <f t="shared" ref="AJ337:AJ344" si="246">IF(ISNUMBER(N337),IF(N337&gt;0,N337,0),$AI337)</f>
        <v>0.25</v>
      </c>
      <c r="AK337" s="95">
        <f t="shared" ref="AK337:AK344" si="247">IF(ISNUMBER(U337),IF(U337&gt;0,U337,0),$AI337)</f>
        <v>0.25</v>
      </c>
      <c r="AL337" s="65"/>
      <c r="AM337" s="96">
        <f>AE346</f>
        <v>0.90400000000000003</v>
      </c>
      <c r="AN337" s="96">
        <f>AF346</f>
        <v>9.6000000000000002E-2</v>
      </c>
      <c r="AO337" s="96">
        <f>AG346</f>
        <v>0</v>
      </c>
      <c r="AP337" s="65">
        <f t="shared" ref="AP337:AP344" si="248">IF(AI337&lt;&gt;0,Z337/1000/SUMPRODUCT(AM337:AO337,AI337:AK337),0)</f>
        <v>0.04</v>
      </c>
      <c r="AQ337" s="65"/>
      <c r="AR337" s="65"/>
      <c r="AS337" s="65"/>
      <c r="AT337" s="95">
        <f>IF(ISNUMBER(H337),H337*F337*Z337/1000*Balance!$H$13/J337,0)</f>
        <v>5.3543189977019212</v>
      </c>
      <c r="AU337" s="95">
        <f>IF(ISTEXT(K337),IF(ISNUMBER(O337),O337*M337*Z337/1000*Balance!$H$13/Q337,0),AT337)</f>
        <v>5.3543189977019212</v>
      </c>
      <c r="AV337" s="95">
        <f>IF(ISTEXT(R337),IF(ISNUMBER(V337),V337*T337*Z337/1000*Balance!$H$13/X337,0),AT337)</f>
        <v>5.3543189977019212</v>
      </c>
      <c r="AW337" s="99"/>
      <c r="AX337" s="95">
        <f>AT337*AX335</f>
        <v>4.8403043739225371</v>
      </c>
      <c r="AY337" s="95">
        <f>AU337*AY335</f>
        <v>0.51401462377938445</v>
      </c>
      <c r="AZ337" s="95">
        <f>AV337*AZ335</f>
        <v>0</v>
      </c>
      <c r="BA337" s="95">
        <f>SUM(AX337:AZ337)</f>
        <v>5.3543189977019212</v>
      </c>
      <c r="BB337" s="65"/>
      <c r="BC337" s="95">
        <f>IF(ISNUMBER(I337),I337*F337*Z337/1000*Balance!$H$13/J337,0)</f>
        <v>0.69461538588667604</v>
      </c>
      <c r="BD337" s="95">
        <f>IF(ISTEXT(K337),IF(ISNUMBER(P337),P337*M337*Z337/1000*Balance!$H$13/Q337,0),BC337)</f>
        <v>0.69461538588667604</v>
      </c>
      <c r="BE337" s="95">
        <f>IF(ISTEXT(R337),IF(ISNUMBER(W337),W337*T337*Z337/1000*Balance!$H$13/X337,0),BC337)</f>
        <v>0.69461538588667604</v>
      </c>
      <c r="BF337" s="99"/>
      <c r="BG337" s="95">
        <f>BC337*BG335</f>
        <v>0.62793230884155515</v>
      </c>
      <c r="BH337" s="95">
        <f>BD337*BH335</f>
        <v>6.66830770451209E-2</v>
      </c>
      <c r="BI337" s="95">
        <f>BE337*BI335</f>
        <v>0</v>
      </c>
      <c r="BJ337" s="95">
        <f>SUM(BG337:BI337)</f>
        <v>0.69461538588667604</v>
      </c>
      <c r="BK337" s="65"/>
      <c r="BL337" s="65"/>
      <c r="BM337" s="65"/>
    </row>
    <row r="338" spans="2:65" outlineLevel="1" x14ac:dyDescent="0.25">
      <c r="B338" s="201"/>
      <c r="C338" s="91"/>
      <c r="D338" s="418" t="s">
        <v>1030</v>
      </c>
      <c r="E338" s="419"/>
      <c r="F338" s="94">
        <v>1</v>
      </c>
      <c r="G338" s="136">
        <f>IF(ISNUMBER(VLOOKUP(LEFT(D338,3),'Material editor'!$D$11:$H$110,'Material editor'!$E$8,0)),VLOOKUP(LEFT(D338,3),'Material editor'!$D$11:$H$110,'Material editor'!$E$8,0),"")</f>
        <v>0.13</v>
      </c>
      <c r="H338" s="137">
        <f>IF(ISNUMBER(VLOOKUP(LEFT(D338,3),'Material editor'!$D$11:$H$110,'Material editor'!$F$8,0)),VLOOKUP(LEFT(D338,3),'Material editor'!$D$11:$H$110,'Material editor'!$F$8,0),"")</f>
        <v>3027.3954833451362</v>
      </c>
      <c r="I338" s="137">
        <f>IF(ISNUMBER(VLOOKUP(LEFT(D338,3),'Material editor'!$D$11:$H$110,'Material editor'!$G$8,0)),VLOOKUP(LEFT(D338,3),'Material editor'!$D$11:$H$110,'Material editor'!$G$8,0),"")</f>
        <v>-608.78646748019798</v>
      </c>
      <c r="J338" s="137">
        <f>IF(ISNUMBER(VLOOKUP(LEFT(D338,3),'Material editor'!$D$11:$H$110,'Material editor'!$H$8,0)),VLOOKUP(LEFT(D338,3),'Material editor'!$D$11:$H$110,'Material editor'!$H$8,0),"")</f>
        <v>80</v>
      </c>
      <c r="K338" s="422"/>
      <c r="L338" s="419"/>
      <c r="M338" s="94"/>
      <c r="N338" s="136" t="str">
        <f>IF(ISNUMBER(VLOOKUP(LEFT(K338,3),'Material editor'!$D$11:$H$110,'Material editor'!$E$8,0)),VLOOKUP(LEFT(K338,3),'Material editor'!$D$11:$H$110,'Material editor'!$E$8,0),"")</f>
        <v/>
      </c>
      <c r="O338" s="137" t="str">
        <f>IF(ISNUMBER(VLOOKUP(LEFT(K338,3),'Material editor'!$D$11:$H$110,'Material editor'!$F$8,0)),VLOOKUP(LEFT(K338,3),'Material editor'!$D$11:$H$110,'Material editor'!$F$8,0),"")</f>
        <v/>
      </c>
      <c r="P338" s="137" t="str">
        <f>IF(ISNUMBER(VLOOKUP(LEFT(K338,3),'Material editor'!$D$11:$H$110,'Material editor'!$G$8,0)),VLOOKUP(LEFT(K338,3),'Material editor'!$D$11:$H$110,'Material editor'!$G$8,0),"")</f>
        <v/>
      </c>
      <c r="Q338" s="137" t="str">
        <f>IF(ISNUMBER(VLOOKUP(LEFT(K338,3),'Material editor'!$D$11:$H$110,'Material editor'!$H$8,0)),VLOOKUP(LEFT(K338,3),'Material editor'!$D$11:$H$110,'Material editor'!$H$8,0),"")</f>
        <v/>
      </c>
      <c r="R338" s="418"/>
      <c r="S338" s="407"/>
      <c r="T338" s="94"/>
      <c r="U338" s="136" t="str">
        <f>IF(ISNUMBER(VLOOKUP(LEFT(R338,3),'Material editor'!$D$11:$H$110,'Material editor'!$E$8,0)),VLOOKUP(LEFT(R338,3),'Material editor'!$D$11:$H$110,'Material editor'!$E$8,0),"")</f>
        <v/>
      </c>
      <c r="V338" s="137" t="str">
        <f>IF(ISNUMBER(VLOOKUP(LEFT(R338,3),'Material editor'!$D$11:$H$110,'Material editor'!$F$8,0)),VLOOKUP(LEFT(R338,3),'Material editor'!$D$11:$H$110,'Material editor'!$F$8,0),"")</f>
        <v/>
      </c>
      <c r="W338" s="137" t="str">
        <f>IF(ISNUMBER(VLOOKUP(LEFT(R338,3),'Material editor'!$D$11:$H$110,'Material editor'!$G$8,0)),VLOOKUP(LEFT(R338,3),'Material editor'!$D$11:$H$110,'Material editor'!$G$8,0),"")</f>
        <v/>
      </c>
      <c r="X338" s="137" t="str">
        <f>IF(ISNUMBER(VLOOKUP(LEFT(R338,3),'Material editor'!$D$11:$H$110,'Material editor'!$H$8,0)),VLOOKUP(LEFT(R338,3),'Material editor'!$D$11:$H$110,'Material editor'!$H$8,0),"")</f>
        <v/>
      </c>
      <c r="Y338" s="74"/>
      <c r="Z338" s="94">
        <v>15</v>
      </c>
      <c r="AA338" s="8"/>
      <c r="AB338" s="61"/>
      <c r="AC338" s="65"/>
      <c r="AD338" s="65"/>
      <c r="AE338" s="95">
        <f t="shared" si="242"/>
        <v>0.11538461538461538</v>
      </c>
      <c r="AF338" s="95">
        <f t="shared" si="243"/>
        <v>0.11538461538461538</v>
      </c>
      <c r="AG338" s="95">
        <f t="shared" si="244"/>
        <v>0.11538461538461538</v>
      </c>
      <c r="AH338" s="65"/>
      <c r="AI338" s="95">
        <f t="shared" si="245"/>
        <v>0.13</v>
      </c>
      <c r="AJ338" s="95">
        <f t="shared" si="246"/>
        <v>0.13</v>
      </c>
      <c r="AK338" s="95">
        <f t="shared" si="247"/>
        <v>0.13</v>
      </c>
      <c r="AL338" s="65"/>
      <c r="AM338" s="96">
        <f t="shared" ref="AM338:AO338" si="249">AM337</f>
        <v>0.90400000000000003</v>
      </c>
      <c r="AN338" s="96">
        <f t="shared" si="249"/>
        <v>9.6000000000000002E-2</v>
      </c>
      <c r="AO338" s="96">
        <f t="shared" si="249"/>
        <v>0</v>
      </c>
      <c r="AP338" s="65">
        <f t="shared" si="248"/>
        <v>0.11538461538461538</v>
      </c>
      <c r="AQ338" s="65"/>
      <c r="AR338" s="65"/>
      <c r="AS338" s="65"/>
      <c r="AT338" s="95">
        <f>IF(ISNUMBER(H338),H338*F338*Z338/1000*Balance!$H$13/J338,0)</f>
        <v>11.35273306254426</v>
      </c>
      <c r="AU338" s="95">
        <f>IF(ISTEXT(K338),IF(ISNUMBER(O338),O338*M338*Z338/1000*Balance!$H$13/Q338,0),AT338)</f>
        <v>11.35273306254426</v>
      </c>
      <c r="AV338" s="95">
        <f>IF(ISTEXT(R338),IF(ISNUMBER(V338),V338*T338*Z338/1000*Balance!$H$13/X338,0),AT338)</f>
        <v>11.35273306254426</v>
      </c>
      <c r="AW338" s="65"/>
      <c r="AX338" s="95">
        <f>AT338*AX335</f>
        <v>10.262870688540012</v>
      </c>
      <c r="AY338" s="95">
        <f>AU338*AY335</f>
        <v>1.089862374004249</v>
      </c>
      <c r="AZ338" s="95">
        <f>AV338*AZ335</f>
        <v>0</v>
      </c>
      <c r="BA338" s="95">
        <f t="shared" ref="BA338:BA344" si="250">SUM(AX338:AZ338)</f>
        <v>11.35273306254426</v>
      </c>
      <c r="BB338" s="65"/>
      <c r="BC338" s="95">
        <f>IF(ISNUMBER(I338),I338*F338*Z338/1000*Balance!$H$13/J338,0)</f>
        <v>-2.2829492530507425</v>
      </c>
      <c r="BD338" s="95">
        <f>IF(ISTEXT(K338),IF(ISNUMBER(P338),P338*M338*Z338/1000*Balance!$H$13/Q338,0),BC338)</f>
        <v>-2.2829492530507425</v>
      </c>
      <c r="BE338" s="95">
        <f>IF(ISTEXT(R338),IF(ISNUMBER(W338),W338*T338*Z338/1000*Balance!$H$13/X338,0),BC338)</f>
        <v>-2.2829492530507425</v>
      </c>
      <c r="BF338" s="65"/>
      <c r="BG338" s="95">
        <f>BC338*BG335</f>
        <v>-2.063786124757871</v>
      </c>
      <c r="BH338" s="95">
        <f>BD338*BH335</f>
        <v>-0.2191631282928713</v>
      </c>
      <c r="BI338" s="95">
        <f>BE338*BI335</f>
        <v>0</v>
      </c>
      <c r="BJ338" s="95">
        <f t="shared" ref="BJ338:BJ344" si="251">SUM(BG338:BI338)</f>
        <v>-2.2829492530507425</v>
      </c>
      <c r="BK338" s="65"/>
      <c r="BL338" s="65"/>
      <c r="BM338" s="65"/>
    </row>
    <row r="339" spans="2:65" outlineLevel="1" x14ac:dyDescent="0.25">
      <c r="B339" s="201"/>
      <c r="C339" s="91"/>
      <c r="D339" s="418" t="s">
        <v>1014</v>
      </c>
      <c r="E339" s="407"/>
      <c r="F339" s="94">
        <v>1</v>
      </c>
      <c r="G339" s="136">
        <f>IF(ISNUMBER(VLOOKUP(LEFT(D339,3),'Material editor'!$D$11:$H$110,'Material editor'!$E$8,0)),VLOOKUP(LEFT(D339,3),'Material editor'!$D$11:$H$110,'Material editor'!$E$8,0),"")</f>
        <v>3.5000000000000003E-2</v>
      </c>
      <c r="H339" s="137">
        <f>IF(ISNUMBER(VLOOKUP(LEFT(D339,3),'Material editor'!$D$11:$H$110,'Material editor'!$F$8,0)),VLOOKUP(LEFT(D339,3),'Material editor'!$D$11:$H$110,'Material editor'!$F$8,0),"")</f>
        <v>192.72001572903667</v>
      </c>
      <c r="I339" s="137">
        <f>IF(ISNUMBER(VLOOKUP(LEFT(D339,3),'Material editor'!$D$11:$H$110,'Material editor'!$G$8,0)),VLOOKUP(LEFT(D339,3),'Material editor'!$D$11:$H$110,'Material editor'!$G$8,0),"")</f>
        <v>46.182631382056201</v>
      </c>
      <c r="J339" s="137">
        <f>IF(ISNUMBER(VLOOKUP(LEFT(D339,3),'Material editor'!$D$11:$H$110,'Material editor'!$H$8,0)),VLOOKUP(LEFT(D339,3),'Material editor'!$D$11:$H$110,'Material editor'!$H$8,0),"")</f>
        <v>40</v>
      </c>
      <c r="K339" s="422" t="s">
        <v>1035</v>
      </c>
      <c r="L339" s="419"/>
      <c r="M339" s="94">
        <v>1</v>
      </c>
      <c r="N339" s="136">
        <f>IF(ISNUMBER(VLOOKUP(LEFT(K339,3),'Material editor'!$D$11:$H$110,'Material editor'!$E$8,0)),VLOOKUP(LEFT(K339,3),'Material editor'!$D$11:$H$110,'Material editor'!$E$8,0),"")</f>
        <v>0.13</v>
      </c>
      <c r="O339" s="137">
        <f>IF(ISNUMBER(VLOOKUP(LEFT(K339,3),'Material editor'!$D$11:$H$110,'Material editor'!$F$8,0)),VLOOKUP(LEFT(K339,3),'Material editor'!$D$11:$H$110,'Material editor'!$F$8,0),"")</f>
        <v>1434.0932694222695</v>
      </c>
      <c r="P339" s="137">
        <f>IF(ISNUMBER(VLOOKUP(LEFT(K339,3),'Material editor'!$D$11:$H$110,'Material editor'!$G$8,0)),VLOOKUP(LEFT(K339,3),'Material editor'!$D$11:$H$110,'Material editor'!$G$8,0),"")</f>
        <v>-636.14449532812898</v>
      </c>
      <c r="Q339" s="137">
        <f>IF(ISNUMBER(VLOOKUP(LEFT(K339,3),'Material editor'!$D$11:$H$110,'Material editor'!$H$8,0)),VLOOKUP(LEFT(K339,3),'Material editor'!$D$11:$H$110,'Material editor'!$H$8,0),"")</f>
        <v>80</v>
      </c>
      <c r="R339" s="418"/>
      <c r="S339" s="407"/>
      <c r="T339" s="94"/>
      <c r="U339" s="136" t="str">
        <f>IF(ISNUMBER(VLOOKUP(LEFT(R339,3),'Material editor'!$D$11:$H$110,'Material editor'!$E$8,0)),VLOOKUP(LEFT(R339,3),'Material editor'!$D$11:$H$110,'Material editor'!$E$8,0),"")</f>
        <v/>
      </c>
      <c r="V339" s="137" t="str">
        <f>IF(ISNUMBER(VLOOKUP(LEFT(R339,3),'Material editor'!$D$11:$H$110,'Material editor'!$F$8,0)),VLOOKUP(LEFT(R339,3),'Material editor'!$D$11:$H$110,'Material editor'!$F$8,0),"")</f>
        <v/>
      </c>
      <c r="W339" s="137" t="str">
        <f>IF(ISNUMBER(VLOOKUP(LEFT(R339,3),'Material editor'!$D$11:$H$110,'Material editor'!$G$8,0)),VLOOKUP(LEFT(R339,3),'Material editor'!$D$11:$H$110,'Material editor'!$G$8,0),"")</f>
        <v/>
      </c>
      <c r="X339" s="137" t="str">
        <f>IF(ISNUMBER(VLOOKUP(LEFT(R339,3),'Material editor'!$D$11:$H$110,'Material editor'!$H$8,0)),VLOOKUP(LEFT(R339,3),'Material editor'!$D$11:$H$110,'Material editor'!$H$8,0),"")</f>
        <v/>
      </c>
      <c r="Y339" s="74"/>
      <c r="Z339" s="94">
        <v>216</v>
      </c>
      <c r="AA339" s="8"/>
      <c r="AB339" s="61"/>
      <c r="AC339" s="65"/>
      <c r="AD339" s="65"/>
      <c r="AE339" s="95">
        <f t="shared" si="242"/>
        <v>6.1714285714285708</v>
      </c>
      <c r="AF339" s="95">
        <f t="shared" si="243"/>
        <v>1.6615384615384614</v>
      </c>
      <c r="AG339" s="95">
        <f t="shared" si="244"/>
        <v>6.1714285714285708</v>
      </c>
      <c r="AH339" s="65"/>
      <c r="AI339" s="95">
        <f t="shared" si="245"/>
        <v>3.5000000000000003E-2</v>
      </c>
      <c r="AJ339" s="95">
        <f t="shared" si="246"/>
        <v>0.13</v>
      </c>
      <c r="AK339" s="95">
        <f t="shared" si="247"/>
        <v>3.5000000000000003E-2</v>
      </c>
      <c r="AL339" s="65"/>
      <c r="AM339" s="96">
        <f t="shared" ref="AM339:AO339" si="252">AM338</f>
        <v>0.90400000000000003</v>
      </c>
      <c r="AN339" s="96">
        <f t="shared" si="252"/>
        <v>9.6000000000000002E-2</v>
      </c>
      <c r="AO339" s="96">
        <f t="shared" si="252"/>
        <v>0</v>
      </c>
      <c r="AP339" s="65">
        <f t="shared" si="248"/>
        <v>4.8957388939256568</v>
      </c>
      <c r="AQ339" s="65"/>
      <c r="AR339" s="65"/>
      <c r="AS339" s="65"/>
      <c r="AT339" s="95">
        <f>IF(ISNUMBER(H339),H339*F339*Z339/1000*Balance!$H$13/J339,0)</f>
        <v>20.813761698735963</v>
      </c>
      <c r="AU339" s="95">
        <f>IF(ISTEXT(K339),IF(ISNUMBER(O339),O339*M339*Z339/1000*Balance!$H$13/Q339,0),AT339)</f>
        <v>77.441036548802558</v>
      </c>
      <c r="AV339" s="95">
        <f>IF(ISTEXT(R339),IF(ISNUMBER(V339),V339*T339*Z339/1000*Balance!$H$13/X339,0),AT339)</f>
        <v>20.813761698735963</v>
      </c>
      <c r="AW339" s="65"/>
      <c r="AX339" s="95">
        <f>AT339*AX335</f>
        <v>18.815640575657312</v>
      </c>
      <c r="AY339" s="95">
        <f>AU339*AY335</f>
        <v>7.4343395086850457</v>
      </c>
      <c r="AZ339" s="95">
        <f>AV339*AZ335</f>
        <v>0</v>
      </c>
      <c r="BA339" s="95">
        <f t="shared" si="250"/>
        <v>26.249980084342358</v>
      </c>
      <c r="BB339" s="65"/>
      <c r="BC339" s="95">
        <f>IF(ISNUMBER(I339),I339*F339*Z339/1000*Balance!$H$13/J339,0)</f>
        <v>4.9877241892620692</v>
      </c>
      <c r="BD339" s="95">
        <f>IF(ISTEXT(K339),IF(ISNUMBER(P339),P339*M339*Z339/1000*Balance!$H$13/Q339,0),BC339)</f>
        <v>-34.35180274771897</v>
      </c>
      <c r="BE339" s="95">
        <f>IF(ISTEXT(R339),IF(ISNUMBER(W339),W339*T339*Z339/1000*Balance!$H$13/X339,0),BC339)</f>
        <v>4.9877241892620692</v>
      </c>
      <c r="BF339" s="65"/>
      <c r="BG339" s="95">
        <f>BC339*BG335</f>
        <v>4.5089026670929107</v>
      </c>
      <c r="BH339" s="95">
        <f>BD339*BH335</f>
        <v>-3.2977730637810212</v>
      </c>
      <c r="BI339" s="95">
        <f>BE339*BI335</f>
        <v>0</v>
      </c>
      <c r="BJ339" s="95">
        <f t="shared" si="251"/>
        <v>1.2111296033118895</v>
      </c>
      <c r="BK339" s="65"/>
      <c r="BL339" s="65"/>
      <c r="BM339" s="65"/>
    </row>
    <row r="340" spans="2:65" outlineLevel="1" x14ac:dyDescent="0.25">
      <c r="B340" s="201"/>
      <c r="C340" s="91"/>
      <c r="D340" s="418" t="s">
        <v>1028</v>
      </c>
      <c r="E340" s="407"/>
      <c r="F340" s="94">
        <v>1</v>
      </c>
      <c r="G340" s="136">
        <f>IF(ISNUMBER(VLOOKUP(LEFT(D340,3),'Material editor'!$D$11:$H$110,'Material editor'!$E$8,0)),VLOOKUP(LEFT(D340,3),'Material editor'!$D$11:$H$110,'Material editor'!$E$8,0),"")</f>
        <v>4.4999999999999998E-2</v>
      </c>
      <c r="H340" s="137">
        <f>IF(ISNUMBER(VLOOKUP(LEFT(D340,3),'Material editor'!$D$11:$H$110,'Material editor'!$F$8,0)),VLOOKUP(LEFT(D340,3),'Material editor'!$D$11:$H$110,'Material editor'!$F$8,0),"")</f>
        <v>700.38883783406686</v>
      </c>
      <c r="I340" s="137">
        <f>IF(ISNUMBER(VLOOKUP(LEFT(D340,3),'Material editor'!$D$11:$H$110,'Material editor'!$G$8,0)),VLOOKUP(LEFT(D340,3),'Material editor'!$D$11:$H$110,'Material editor'!$G$8,0),"")</f>
        <v>-153.896768984163</v>
      </c>
      <c r="J340" s="137">
        <f>IF(ISNUMBER(VLOOKUP(LEFT(D340,3),'Material editor'!$D$11:$H$110,'Material editor'!$H$8,0)),VLOOKUP(LEFT(D340,3),'Material editor'!$D$11:$H$110,'Material editor'!$H$8,0),"")</f>
        <v>40</v>
      </c>
      <c r="K340" s="422"/>
      <c r="L340" s="419"/>
      <c r="M340" s="94"/>
      <c r="N340" s="136" t="str">
        <f>IF(ISNUMBER(VLOOKUP(LEFT(K340,3),'Material editor'!$D$11:$H$110,'Material editor'!$E$8,0)),VLOOKUP(LEFT(K340,3),'Material editor'!$D$11:$H$110,'Material editor'!$E$8,0),"")</f>
        <v/>
      </c>
      <c r="O340" s="137" t="str">
        <f>IF(ISNUMBER(VLOOKUP(LEFT(K340,3),'Material editor'!$D$11:$H$110,'Material editor'!$F$8,0)),VLOOKUP(LEFT(K340,3),'Material editor'!$D$11:$H$110,'Material editor'!$F$8,0),"")</f>
        <v/>
      </c>
      <c r="P340" s="137" t="str">
        <f>IF(ISNUMBER(VLOOKUP(LEFT(K340,3),'Material editor'!$D$11:$H$110,'Material editor'!$G$8,0)),VLOOKUP(LEFT(K340,3),'Material editor'!$D$11:$H$110,'Material editor'!$G$8,0),"")</f>
        <v/>
      </c>
      <c r="Q340" s="137" t="str">
        <f>IF(ISNUMBER(VLOOKUP(LEFT(K340,3),'Material editor'!$D$11:$H$110,'Material editor'!$H$8,0)),VLOOKUP(LEFT(K340,3),'Material editor'!$D$11:$H$110,'Material editor'!$H$8,0),"")</f>
        <v/>
      </c>
      <c r="R340" s="418"/>
      <c r="S340" s="407"/>
      <c r="T340" s="94"/>
      <c r="U340" s="136" t="str">
        <f>IF(ISNUMBER(VLOOKUP(LEFT(R340,3),'Material editor'!$D$11:$H$110,'Material editor'!$E$8,0)),VLOOKUP(LEFT(R340,3),'Material editor'!$D$11:$H$110,'Material editor'!$E$8,0),"")</f>
        <v/>
      </c>
      <c r="V340" s="137" t="str">
        <f>IF(ISNUMBER(VLOOKUP(LEFT(R340,3),'Material editor'!$D$11:$H$110,'Material editor'!$F$8,0)),VLOOKUP(LEFT(R340,3),'Material editor'!$D$11:$H$110,'Material editor'!$F$8,0),"")</f>
        <v/>
      </c>
      <c r="W340" s="137" t="str">
        <f>IF(ISNUMBER(VLOOKUP(LEFT(R340,3),'Material editor'!$D$11:$H$110,'Material editor'!$G$8,0)),VLOOKUP(LEFT(R340,3),'Material editor'!$D$11:$H$110,'Material editor'!$G$8,0),"")</f>
        <v/>
      </c>
      <c r="X340" s="137" t="str">
        <f>IF(ISNUMBER(VLOOKUP(LEFT(R340,3),'Material editor'!$D$11:$H$110,'Material editor'!$H$8,0)),VLOOKUP(LEFT(R340,3),'Material editor'!$D$11:$H$110,'Material editor'!$H$8,0),"")</f>
        <v/>
      </c>
      <c r="Y340" s="74"/>
      <c r="Z340" s="94">
        <v>60</v>
      </c>
      <c r="AA340" s="8"/>
      <c r="AB340" s="61"/>
      <c r="AC340" s="65"/>
      <c r="AD340" s="65"/>
      <c r="AE340" s="95">
        <f t="shared" si="242"/>
        <v>1.3333333333333333</v>
      </c>
      <c r="AF340" s="95">
        <f t="shared" si="243"/>
        <v>1.3333333333333333</v>
      </c>
      <c r="AG340" s="95">
        <f t="shared" si="244"/>
        <v>1.3333333333333333</v>
      </c>
      <c r="AH340" s="65"/>
      <c r="AI340" s="95">
        <f t="shared" si="245"/>
        <v>4.4999999999999998E-2</v>
      </c>
      <c r="AJ340" s="95">
        <f t="shared" si="246"/>
        <v>4.4999999999999998E-2</v>
      </c>
      <c r="AK340" s="95">
        <f t="shared" si="247"/>
        <v>4.4999999999999998E-2</v>
      </c>
      <c r="AL340" s="65"/>
      <c r="AM340" s="96">
        <f t="shared" ref="AM340:AO340" si="253">AM339</f>
        <v>0.90400000000000003</v>
      </c>
      <c r="AN340" s="96">
        <f t="shared" si="253"/>
        <v>9.6000000000000002E-2</v>
      </c>
      <c r="AO340" s="96">
        <f t="shared" si="253"/>
        <v>0</v>
      </c>
      <c r="AP340" s="65">
        <f t="shared" si="248"/>
        <v>1.3333333333333333</v>
      </c>
      <c r="AQ340" s="65"/>
      <c r="AR340" s="65"/>
      <c r="AS340" s="65"/>
      <c r="AT340" s="95">
        <f>IF(ISNUMBER(H340),H340*F340*Z340/1000*Balance!$H$13/J340,0)</f>
        <v>21.011665135022007</v>
      </c>
      <c r="AU340" s="95">
        <f>IF(ISTEXT(K340),IF(ISNUMBER(O340),O340*M340*Z340/1000*Balance!$H$13/Q340,0),AT340)</f>
        <v>21.011665135022007</v>
      </c>
      <c r="AV340" s="95">
        <f>IF(ISTEXT(R340),IF(ISNUMBER(V340),V340*T340*Z340/1000*Balance!$H$13/X340,0),AT340)</f>
        <v>21.011665135022007</v>
      </c>
      <c r="AW340" s="65"/>
      <c r="AX340" s="95">
        <f>AT340*AX335</f>
        <v>18.994545282059896</v>
      </c>
      <c r="AY340" s="95">
        <f>AU340*AY335</f>
        <v>2.0171198529621126</v>
      </c>
      <c r="AZ340" s="95">
        <f>AV340*AZ335</f>
        <v>0</v>
      </c>
      <c r="BA340" s="95">
        <f t="shared" si="250"/>
        <v>21.011665135022007</v>
      </c>
      <c r="BB340" s="65"/>
      <c r="BC340" s="95">
        <f>IF(ISNUMBER(I340),I340*F340*Z340/1000*Balance!$H$13/J340,0)</f>
        <v>-4.6169030695248905</v>
      </c>
      <c r="BD340" s="95">
        <f>IF(ISTEXT(K340),IF(ISNUMBER(P340),P340*M340*Z340/1000*Balance!$H$13/Q340,0),BC340)</f>
        <v>-4.6169030695248905</v>
      </c>
      <c r="BE340" s="95">
        <f>IF(ISTEXT(R340),IF(ISNUMBER(W340),W340*T340*Z340/1000*Balance!$H$13/X340,0),BC340)</f>
        <v>-4.6169030695248905</v>
      </c>
      <c r="BF340" s="65"/>
      <c r="BG340" s="95">
        <f>BC340*BG335</f>
        <v>-4.1736803748505009</v>
      </c>
      <c r="BH340" s="95">
        <f>BD340*BH335</f>
        <v>-0.44322269467438952</v>
      </c>
      <c r="BI340" s="95">
        <f>BE340*BI335</f>
        <v>0</v>
      </c>
      <c r="BJ340" s="95">
        <f t="shared" si="251"/>
        <v>-4.6169030695248905</v>
      </c>
      <c r="BK340" s="65"/>
      <c r="BL340" s="65"/>
      <c r="BM340" s="65"/>
    </row>
    <row r="341" spans="2:65" outlineLevel="1" x14ac:dyDescent="0.25">
      <c r="B341" s="201"/>
      <c r="C341" s="91"/>
      <c r="D341" s="418" t="s">
        <v>1027</v>
      </c>
      <c r="E341" s="419"/>
      <c r="F341" s="94">
        <v>1</v>
      </c>
      <c r="G341" s="136">
        <f>IF(ISNUMBER(VLOOKUP(LEFT(D341,3),'Material editor'!$D$11:$H$110,'Material editor'!$E$8,0)),VLOOKUP(LEFT(D341,3),'Material editor'!$D$11:$H$110,'Material editor'!$E$8,0),"")</f>
        <v>1</v>
      </c>
      <c r="H341" s="137">
        <f>IF(ISNUMBER(VLOOKUP(LEFT(D341,3),'Material editor'!$D$11:$H$110,'Material editor'!$F$8,0)),VLOOKUP(LEFT(D341,3),'Material editor'!$D$11:$H$110,'Material editor'!$F$8,0),"")</f>
        <v>905.22046069906946</v>
      </c>
      <c r="I341" s="137">
        <f>IF(ISNUMBER(VLOOKUP(LEFT(D341,3),'Material editor'!$D$11:$H$110,'Material editor'!$G$8,0)),VLOOKUP(LEFT(D341,3),'Material editor'!$D$11:$H$110,'Material editor'!$G$8,0),"")</f>
        <v>354.91241395986202</v>
      </c>
      <c r="J341" s="137">
        <f>IF(ISNUMBER(VLOOKUP(LEFT(D341,3),'Material editor'!$D$11:$H$110,'Material editor'!$H$8,0)),VLOOKUP(LEFT(D341,3),'Material editor'!$D$11:$H$110,'Material editor'!$H$8,0),"")</f>
        <v>40</v>
      </c>
      <c r="K341" s="422"/>
      <c r="L341" s="419"/>
      <c r="M341" s="94"/>
      <c r="N341" s="136" t="str">
        <f>IF(ISNUMBER(VLOOKUP(LEFT(K341,3),'Material editor'!$D$11:$H$110,'Material editor'!$E$8,0)),VLOOKUP(LEFT(K341,3),'Material editor'!$D$11:$H$110,'Material editor'!$E$8,0),"")</f>
        <v/>
      </c>
      <c r="O341" s="137" t="str">
        <f>IF(ISNUMBER(VLOOKUP(LEFT(K341,3),'Material editor'!$D$11:$H$110,'Material editor'!$F$8,0)),VLOOKUP(LEFT(K341,3),'Material editor'!$D$11:$H$110,'Material editor'!$F$8,0),"")</f>
        <v/>
      </c>
      <c r="P341" s="137" t="str">
        <f>IF(ISNUMBER(VLOOKUP(LEFT(K341,3),'Material editor'!$D$11:$H$110,'Material editor'!$G$8,0)),VLOOKUP(LEFT(K341,3),'Material editor'!$D$11:$H$110,'Material editor'!$G$8,0),"")</f>
        <v/>
      </c>
      <c r="Q341" s="137" t="str">
        <f>IF(ISNUMBER(VLOOKUP(LEFT(K341,3),'Material editor'!$D$11:$H$110,'Material editor'!$H$8,0)),VLOOKUP(LEFT(K341,3),'Material editor'!$D$11:$H$110,'Material editor'!$H$8,0),"")</f>
        <v/>
      </c>
      <c r="R341" s="418"/>
      <c r="S341" s="407"/>
      <c r="T341" s="94"/>
      <c r="U341" s="136" t="str">
        <f>IF(ISNUMBER(VLOOKUP(LEFT(R341,3),'Material editor'!$D$11:$H$110,'Material editor'!$E$8,0)),VLOOKUP(LEFT(R341,3),'Material editor'!$D$11:$H$110,'Material editor'!$E$8,0),"")</f>
        <v/>
      </c>
      <c r="V341" s="137" t="str">
        <f>IF(ISNUMBER(VLOOKUP(LEFT(R341,3),'Material editor'!$D$11:$H$110,'Material editor'!$F$8,0)),VLOOKUP(LEFT(R341,3),'Material editor'!$D$11:$H$110,'Material editor'!$F$8,0),"")</f>
        <v/>
      </c>
      <c r="W341" s="137" t="str">
        <f>IF(ISNUMBER(VLOOKUP(LEFT(R341,3),'Material editor'!$D$11:$H$110,'Material editor'!$G$8,0)),VLOOKUP(LEFT(R341,3),'Material editor'!$D$11:$H$110,'Material editor'!$G$8,0),"")</f>
        <v/>
      </c>
      <c r="X341" s="137" t="str">
        <f>IF(ISNUMBER(VLOOKUP(LEFT(R341,3),'Material editor'!$D$11:$H$110,'Material editor'!$H$8,0)),VLOOKUP(LEFT(R341,3),'Material editor'!$D$11:$H$110,'Material editor'!$H$8,0),"")</f>
        <v/>
      </c>
      <c r="Y341" s="74"/>
      <c r="Z341" s="94">
        <v>20</v>
      </c>
      <c r="AA341" s="8"/>
      <c r="AB341" s="61"/>
      <c r="AC341" s="65"/>
      <c r="AD341" s="65"/>
      <c r="AE341" s="95">
        <f t="shared" si="242"/>
        <v>0.02</v>
      </c>
      <c r="AF341" s="95">
        <f t="shared" si="243"/>
        <v>0.02</v>
      </c>
      <c r="AG341" s="95">
        <f t="shared" si="244"/>
        <v>0.02</v>
      </c>
      <c r="AH341" s="65"/>
      <c r="AI341" s="95">
        <f t="shared" si="245"/>
        <v>1</v>
      </c>
      <c r="AJ341" s="95">
        <f t="shared" si="246"/>
        <v>1</v>
      </c>
      <c r="AK341" s="95">
        <f t="shared" si="247"/>
        <v>1</v>
      </c>
      <c r="AL341" s="65"/>
      <c r="AM341" s="96">
        <f t="shared" ref="AM341:AO341" si="254">AM340</f>
        <v>0.90400000000000003</v>
      </c>
      <c r="AN341" s="96">
        <f t="shared" si="254"/>
        <v>9.6000000000000002E-2</v>
      </c>
      <c r="AO341" s="96">
        <f t="shared" si="254"/>
        <v>0</v>
      </c>
      <c r="AP341" s="65">
        <f t="shared" si="248"/>
        <v>0.02</v>
      </c>
      <c r="AQ341" s="65"/>
      <c r="AR341" s="65"/>
      <c r="AS341" s="65"/>
      <c r="AT341" s="95">
        <f>IF(ISNUMBER(H341),H341*F341*Z341/1000*Balance!$H$13/J341,0)</f>
        <v>9.0522046069906938</v>
      </c>
      <c r="AU341" s="95">
        <f>IF(ISTEXT(K341),IF(ISNUMBER(O341),O341*M341*Z341/1000*Balance!$H$13/Q341,0),AT341)</f>
        <v>9.0522046069906938</v>
      </c>
      <c r="AV341" s="95">
        <f>IF(ISTEXT(R341),IF(ISNUMBER(V341),V341*T341*Z341/1000*Balance!$H$13/X341,0),AT341)</f>
        <v>9.0522046069906938</v>
      </c>
      <c r="AW341" s="65"/>
      <c r="AX341" s="95">
        <f>AT341*AX335</f>
        <v>8.1831929647195878</v>
      </c>
      <c r="AY341" s="95">
        <f>AU341*AY335</f>
        <v>0.86901164227110661</v>
      </c>
      <c r="AZ341" s="95">
        <f>AV341*AZ335</f>
        <v>0</v>
      </c>
      <c r="BA341" s="95">
        <f t="shared" si="250"/>
        <v>9.0522046069906938</v>
      </c>
      <c r="BB341" s="65"/>
      <c r="BC341" s="95">
        <f>IF(ISNUMBER(I341),I341*F341*Z341/1000*Balance!$H$13/J341,0)</f>
        <v>3.5491241395986202</v>
      </c>
      <c r="BD341" s="95">
        <f>IF(ISTEXT(K341),IF(ISNUMBER(P341),P341*M341*Z341/1000*Balance!$H$13/Q341,0),BC341)</f>
        <v>3.5491241395986202</v>
      </c>
      <c r="BE341" s="95">
        <f>IF(ISTEXT(R341),IF(ISNUMBER(W341),W341*T341*Z341/1000*Balance!$H$13/X341,0),BC341)</f>
        <v>3.5491241395986202</v>
      </c>
      <c r="BF341" s="65"/>
      <c r="BG341" s="95">
        <f>BC341*BG335</f>
        <v>3.2084082221971526</v>
      </c>
      <c r="BH341" s="95">
        <f>BD341*BH335</f>
        <v>0.34071591740146756</v>
      </c>
      <c r="BI341" s="95">
        <f>BE341*BI335</f>
        <v>0</v>
      </c>
      <c r="BJ341" s="95">
        <f t="shared" si="251"/>
        <v>3.5491241395986202</v>
      </c>
      <c r="BK341" s="65"/>
      <c r="BL341" s="65"/>
      <c r="BM341" s="65"/>
    </row>
    <row r="342" spans="2:65" outlineLevel="1" x14ac:dyDescent="0.25">
      <c r="B342" s="201"/>
      <c r="C342" s="91"/>
      <c r="D342" s="418"/>
      <c r="E342" s="407"/>
      <c r="F342" s="94"/>
      <c r="G342" s="136" t="str">
        <f>IF(ISNUMBER(VLOOKUP(LEFT(D342,3),'Material editor'!$D$11:$H$110,'Material editor'!$E$8,0)),VLOOKUP(LEFT(D342,3),'Material editor'!$D$11:$H$110,'Material editor'!$E$8,0),"")</f>
        <v/>
      </c>
      <c r="H342" s="137" t="str">
        <f>IF(ISNUMBER(VLOOKUP(LEFT(D342,3),'Material editor'!$D$11:$H$110,'Material editor'!$F$8,0)),VLOOKUP(LEFT(D342,3),'Material editor'!$D$11:$H$110,'Material editor'!$F$8,0),"")</f>
        <v/>
      </c>
      <c r="I342" s="137" t="str">
        <f>IF(ISNUMBER(VLOOKUP(LEFT(D342,3),'Material editor'!$D$11:$H$110,'Material editor'!$G$8,0)),VLOOKUP(LEFT(D342,3),'Material editor'!$D$11:$H$110,'Material editor'!$G$8,0),"")</f>
        <v/>
      </c>
      <c r="J342" s="137" t="str">
        <f>IF(ISNUMBER(VLOOKUP(LEFT(D342,3),'Material editor'!$D$11:$H$110,'Material editor'!$H$8,0)),VLOOKUP(LEFT(D342,3),'Material editor'!$D$11:$H$110,'Material editor'!$H$8,0),"")</f>
        <v/>
      </c>
      <c r="K342" s="422"/>
      <c r="L342" s="419"/>
      <c r="M342" s="94"/>
      <c r="N342" s="136" t="str">
        <f>IF(ISNUMBER(VLOOKUP(LEFT(K342,3),'Material editor'!$D$11:$H$110,'Material editor'!$E$8,0)),VLOOKUP(LEFT(K342,3),'Material editor'!$D$11:$H$110,'Material editor'!$E$8,0),"")</f>
        <v/>
      </c>
      <c r="O342" s="137" t="str">
        <f>IF(ISNUMBER(VLOOKUP(LEFT(K342,3),'Material editor'!$D$11:$H$110,'Material editor'!$F$8,0)),VLOOKUP(LEFT(K342,3),'Material editor'!$D$11:$H$110,'Material editor'!$F$8,0),"")</f>
        <v/>
      </c>
      <c r="P342" s="137" t="str">
        <f>IF(ISNUMBER(VLOOKUP(LEFT(K342,3),'Material editor'!$D$11:$H$110,'Material editor'!$G$8,0)),VLOOKUP(LEFT(K342,3),'Material editor'!$D$11:$H$110,'Material editor'!$G$8,0),"")</f>
        <v/>
      </c>
      <c r="Q342" s="137" t="str">
        <f>IF(ISNUMBER(VLOOKUP(LEFT(K342,3),'Material editor'!$D$11:$H$110,'Material editor'!$H$8,0)),VLOOKUP(LEFT(K342,3),'Material editor'!$D$11:$H$110,'Material editor'!$H$8,0),"")</f>
        <v/>
      </c>
      <c r="R342" s="418"/>
      <c r="S342" s="407"/>
      <c r="T342" s="94"/>
      <c r="U342" s="136" t="str">
        <f>IF(ISNUMBER(VLOOKUP(LEFT(R342,3),'Material editor'!$D$11:$H$110,'Material editor'!$E$8,0)),VLOOKUP(LEFT(R342,3),'Material editor'!$D$11:$H$110,'Material editor'!$E$8,0),"")</f>
        <v/>
      </c>
      <c r="V342" s="137" t="str">
        <f>IF(ISNUMBER(VLOOKUP(LEFT(R342,3),'Material editor'!$D$11:$H$110,'Material editor'!$F$8,0)),VLOOKUP(LEFT(R342,3),'Material editor'!$D$11:$H$110,'Material editor'!$F$8,0),"")</f>
        <v/>
      </c>
      <c r="W342" s="137" t="str">
        <f>IF(ISNUMBER(VLOOKUP(LEFT(R342,3),'Material editor'!$D$11:$H$110,'Material editor'!$G$8,0)),VLOOKUP(LEFT(R342,3),'Material editor'!$D$11:$H$110,'Material editor'!$G$8,0),"")</f>
        <v/>
      </c>
      <c r="X342" s="137" t="str">
        <f>IF(ISNUMBER(VLOOKUP(LEFT(R342,3),'Material editor'!$D$11:$H$110,'Material editor'!$H$8,0)),VLOOKUP(LEFT(R342,3),'Material editor'!$D$11:$H$110,'Material editor'!$H$8,0),"")</f>
        <v/>
      </c>
      <c r="Y342" s="74"/>
      <c r="Z342" s="94"/>
      <c r="AA342" s="8"/>
      <c r="AB342" s="61"/>
      <c r="AC342" s="65"/>
      <c r="AD342" s="65"/>
      <c r="AE342" s="95">
        <f t="shared" si="242"/>
        <v>0</v>
      </c>
      <c r="AF342" s="95">
        <f t="shared" si="243"/>
        <v>0</v>
      </c>
      <c r="AG342" s="95">
        <f t="shared" si="244"/>
        <v>0</v>
      </c>
      <c r="AH342" s="65"/>
      <c r="AI342" s="95">
        <f t="shared" si="245"/>
        <v>0</v>
      </c>
      <c r="AJ342" s="95">
        <f t="shared" si="246"/>
        <v>0</v>
      </c>
      <c r="AK342" s="95">
        <f t="shared" si="247"/>
        <v>0</v>
      </c>
      <c r="AL342" s="65"/>
      <c r="AM342" s="96">
        <f t="shared" ref="AM342:AO342" si="255">AM341</f>
        <v>0.90400000000000003</v>
      </c>
      <c r="AN342" s="96">
        <f t="shared" si="255"/>
        <v>9.6000000000000002E-2</v>
      </c>
      <c r="AO342" s="96">
        <f t="shared" si="255"/>
        <v>0</v>
      </c>
      <c r="AP342" s="65">
        <f t="shared" si="248"/>
        <v>0</v>
      </c>
      <c r="AQ342" s="65"/>
      <c r="AR342" s="65"/>
      <c r="AS342" s="66"/>
      <c r="AT342" s="95">
        <f>IF(ISNUMBER(H342),H342*F342*Z342/1000*Balance!$H$13/J342,0)</f>
        <v>0</v>
      </c>
      <c r="AU342" s="95">
        <f>IF(ISTEXT(K342),IF(ISNUMBER(O342),O342*M342*Z342/1000*Balance!$H$13/Q342,0),AT342)</f>
        <v>0</v>
      </c>
      <c r="AV342" s="95">
        <f>IF(ISTEXT(R342),IF(ISNUMBER(V342),V342*T342*Z342/1000*Balance!$H$13/X342,0),AT342)</f>
        <v>0</v>
      </c>
      <c r="AW342" s="66"/>
      <c r="AX342" s="95">
        <f>AT342*AX335</f>
        <v>0</v>
      </c>
      <c r="AY342" s="95">
        <f>AU342*AY335</f>
        <v>0</v>
      </c>
      <c r="AZ342" s="95">
        <f>AV342*AZ335</f>
        <v>0</v>
      </c>
      <c r="BA342" s="95">
        <f t="shared" si="250"/>
        <v>0</v>
      </c>
      <c r="BB342" s="66"/>
      <c r="BC342" s="95">
        <f>IF(ISNUMBER(I342),I342*F342*Z342/1000*Balance!$H$13/J342,0)</f>
        <v>0</v>
      </c>
      <c r="BD342" s="95">
        <f>IF(ISTEXT(K342),IF(ISNUMBER(P342),P342*M342*Z342/1000*Balance!$H$13/Q342,0),BC342)</f>
        <v>0</v>
      </c>
      <c r="BE342" s="95">
        <f>IF(ISTEXT(R342),IF(ISNUMBER(W342),W342*T342*Z342/1000*Balance!$H$13/X342,0),BC342)</f>
        <v>0</v>
      </c>
      <c r="BF342" s="66"/>
      <c r="BG342" s="95">
        <f>BC342*BG335</f>
        <v>0</v>
      </c>
      <c r="BH342" s="95">
        <f>BD342*BH335</f>
        <v>0</v>
      </c>
      <c r="BI342" s="95">
        <f>BE342*BI335</f>
        <v>0</v>
      </c>
      <c r="BJ342" s="95">
        <f t="shared" si="251"/>
        <v>0</v>
      </c>
      <c r="BK342" s="66"/>
      <c r="BL342" s="66"/>
      <c r="BM342" s="66"/>
    </row>
    <row r="343" spans="2:65" outlineLevel="1" x14ac:dyDescent="0.25">
      <c r="B343" s="201"/>
      <c r="C343" s="91"/>
      <c r="D343" s="418"/>
      <c r="E343" s="407"/>
      <c r="F343" s="94"/>
      <c r="G343" s="136" t="str">
        <f>IF(ISNUMBER(VLOOKUP(LEFT(D343,3),'Material editor'!$D$11:$H$110,'Material editor'!$E$8,0)),VLOOKUP(LEFT(D343,3),'Material editor'!$D$11:$H$110,'Material editor'!$E$8,0),"")</f>
        <v/>
      </c>
      <c r="H343" s="137" t="str">
        <f>IF(ISNUMBER(VLOOKUP(LEFT(D343,3),'Material editor'!$D$11:$H$110,'Material editor'!$F$8,0)),VLOOKUP(LEFT(D343,3),'Material editor'!$D$11:$H$110,'Material editor'!$F$8,0),"")</f>
        <v/>
      </c>
      <c r="I343" s="137" t="str">
        <f>IF(ISNUMBER(VLOOKUP(LEFT(D343,3),'Material editor'!$D$11:$H$110,'Material editor'!$G$8,0)),VLOOKUP(LEFT(D343,3),'Material editor'!$D$11:$H$110,'Material editor'!$G$8,0),"")</f>
        <v/>
      </c>
      <c r="J343" s="137" t="str">
        <f>IF(ISNUMBER(VLOOKUP(LEFT(D343,3),'Material editor'!$D$11:$H$110,'Material editor'!$H$8,0)),VLOOKUP(LEFT(D343,3),'Material editor'!$D$11:$H$110,'Material editor'!$H$8,0),"")</f>
        <v/>
      </c>
      <c r="K343" s="422"/>
      <c r="L343" s="419"/>
      <c r="M343" s="94"/>
      <c r="N343" s="136" t="str">
        <f>IF(ISNUMBER(VLOOKUP(LEFT(K343,3),'Material editor'!$D$11:$H$110,'Material editor'!$E$8,0)),VLOOKUP(LEFT(K343,3),'Material editor'!$D$11:$H$110,'Material editor'!$E$8,0),"")</f>
        <v/>
      </c>
      <c r="O343" s="137" t="str">
        <f>IF(ISNUMBER(VLOOKUP(LEFT(K343,3),'Material editor'!$D$11:$H$110,'Material editor'!$F$8,0)),VLOOKUP(LEFT(K343,3),'Material editor'!$D$11:$H$110,'Material editor'!$F$8,0),"")</f>
        <v/>
      </c>
      <c r="P343" s="137" t="str">
        <f>IF(ISNUMBER(VLOOKUP(LEFT(K343,3),'Material editor'!$D$11:$H$110,'Material editor'!$G$8,0)),VLOOKUP(LEFT(K343,3),'Material editor'!$D$11:$H$110,'Material editor'!$G$8,0),"")</f>
        <v/>
      </c>
      <c r="Q343" s="137" t="str">
        <f>IF(ISNUMBER(VLOOKUP(LEFT(K343,3),'Material editor'!$D$11:$H$110,'Material editor'!$H$8,0)),VLOOKUP(LEFT(K343,3),'Material editor'!$D$11:$H$110,'Material editor'!$H$8,0),"")</f>
        <v/>
      </c>
      <c r="R343" s="418"/>
      <c r="S343" s="407"/>
      <c r="T343" s="94"/>
      <c r="U343" s="136" t="str">
        <f>IF(ISNUMBER(VLOOKUP(LEFT(R343,3),'Material editor'!$D$11:$H$110,'Material editor'!$E$8,0)),VLOOKUP(LEFT(R343,3),'Material editor'!$D$11:$H$110,'Material editor'!$E$8,0),"")</f>
        <v/>
      </c>
      <c r="V343" s="137" t="str">
        <f>IF(ISNUMBER(VLOOKUP(LEFT(R343,3),'Material editor'!$D$11:$H$110,'Material editor'!$F$8,0)),VLOOKUP(LEFT(R343,3),'Material editor'!$D$11:$H$110,'Material editor'!$F$8,0),"")</f>
        <v/>
      </c>
      <c r="W343" s="137" t="str">
        <f>IF(ISNUMBER(VLOOKUP(LEFT(R343,3),'Material editor'!$D$11:$H$110,'Material editor'!$G$8,0)),VLOOKUP(LEFT(R343,3),'Material editor'!$D$11:$H$110,'Material editor'!$G$8,0),"")</f>
        <v/>
      </c>
      <c r="X343" s="137" t="str">
        <f>IF(ISNUMBER(VLOOKUP(LEFT(R343,3),'Material editor'!$D$11:$H$110,'Material editor'!$H$8,0)),VLOOKUP(LEFT(R343,3),'Material editor'!$D$11:$H$110,'Material editor'!$H$8,0),"")</f>
        <v/>
      </c>
      <c r="Y343" s="74"/>
      <c r="Z343" s="94"/>
      <c r="AA343" s="8"/>
      <c r="AB343" s="61"/>
      <c r="AC343" s="65"/>
      <c r="AD343" s="65"/>
      <c r="AE343" s="95">
        <f t="shared" si="242"/>
        <v>0</v>
      </c>
      <c r="AF343" s="95">
        <f t="shared" si="243"/>
        <v>0</v>
      </c>
      <c r="AG343" s="95">
        <f t="shared" si="244"/>
        <v>0</v>
      </c>
      <c r="AH343" s="65"/>
      <c r="AI343" s="95">
        <f t="shared" si="245"/>
        <v>0</v>
      </c>
      <c r="AJ343" s="95">
        <f t="shared" si="246"/>
        <v>0</v>
      </c>
      <c r="AK343" s="95">
        <f t="shared" si="247"/>
        <v>0</v>
      </c>
      <c r="AL343" s="65"/>
      <c r="AM343" s="96">
        <f t="shared" ref="AM343:AO343" si="256">AM342</f>
        <v>0.90400000000000003</v>
      </c>
      <c r="AN343" s="96">
        <f t="shared" si="256"/>
        <v>9.6000000000000002E-2</v>
      </c>
      <c r="AO343" s="96">
        <f t="shared" si="256"/>
        <v>0</v>
      </c>
      <c r="AP343" s="65">
        <f t="shared" si="248"/>
        <v>0</v>
      </c>
      <c r="AQ343" s="65"/>
      <c r="AR343" s="65"/>
      <c r="AS343" s="66"/>
      <c r="AT343" s="95">
        <f>IF(ISNUMBER(H343),H343*F343*Z343/1000*Balance!$H$13/J343,0)</f>
        <v>0</v>
      </c>
      <c r="AU343" s="95">
        <f>IF(ISTEXT(K343),IF(ISNUMBER(O343),O343*M343*Z343/1000*Balance!$H$13/Q343,0),AT343)</f>
        <v>0</v>
      </c>
      <c r="AV343" s="95">
        <f>IF(ISTEXT(R343),IF(ISNUMBER(V343),V343*T343*Z343/1000*Balance!$H$13/X343,0),AT343)</f>
        <v>0</v>
      </c>
      <c r="AW343" s="66"/>
      <c r="AX343" s="95">
        <f>AT343*AX335</f>
        <v>0</v>
      </c>
      <c r="AY343" s="95">
        <f>AU343*AY335</f>
        <v>0</v>
      </c>
      <c r="AZ343" s="95">
        <f>AV343*AZ335</f>
        <v>0</v>
      </c>
      <c r="BA343" s="95">
        <f t="shared" si="250"/>
        <v>0</v>
      </c>
      <c r="BB343" s="66"/>
      <c r="BC343" s="95">
        <f>IF(ISNUMBER(I343),I343*F343*Z343/1000*Balance!$H$13/J343,0)</f>
        <v>0</v>
      </c>
      <c r="BD343" s="95">
        <f>IF(ISTEXT(K343),IF(ISNUMBER(P343),P343*M343*Z343/1000*Balance!$H$13/Q343,0),BC343)</f>
        <v>0</v>
      </c>
      <c r="BE343" s="95">
        <f>IF(ISTEXT(R343),IF(ISNUMBER(W343),W343*T343*Z343/1000*Balance!$H$13/X343,0),BC343)</f>
        <v>0</v>
      </c>
      <c r="BF343" s="66"/>
      <c r="BG343" s="95">
        <f>BC343*BG335</f>
        <v>0</v>
      </c>
      <c r="BH343" s="95">
        <f>BD343*BH335</f>
        <v>0</v>
      </c>
      <c r="BI343" s="95">
        <f>BE343*BI335</f>
        <v>0</v>
      </c>
      <c r="BJ343" s="95">
        <f t="shared" si="251"/>
        <v>0</v>
      </c>
      <c r="BK343" s="66"/>
      <c r="BL343" s="66"/>
      <c r="BM343" s="66"/>
    </row>
    <row r="344" spans="2:65" outlineLevel="1" x14ac:dyDescent="0.25">
      <c r="B344" s="201"/>
      <c r="C344" s="91"/>
      <c r="D344" s="418"/>
      <c r="E344" s="407"/>
      <c r="F344" s="94"/>
      <c r="G344" s="136" t="str">
        <f>IF(ISNUMBER(VLOOKUP(LEFT(D344,3),'Material editor'!$D$11:$H$110,'Material editor'!$E$8,0)),VLOOKUP(LEFT(D344,3),'Material editor'!$D$11:$H$110,'Material editor'!$E$8,0),"")</f>
        <v/>
      </c>
      <c r="H344" s="137" t="str">
        <f>IF(ISNUMBER(VLOOKUP(LEFT(D344,3),'Material editor'!$D$11:$H$110,'Material editor'!$F$8,0)),VLOOKUP(LEFT(D344,3),'Material editor'!$D$11:$H$110,'Material editor'!$F$8,0),"")</f>
        <v/>
      </c>
      <c r="I344" s="137" t="str">
        <f>IF(ISNUMBER(VLOOKUP(LEFT(D344,3),'Material editor'!$D$11:$H$110,'Material editor'!$G$8,0)),VLOOKUP(LEFT(D344,3),'Material editor'!$D$11:$H$110,'Material editor'!$G$8,0),"")</f>
        <v/>
      </c>
      <c r="J344" s="137" t="str">
        <f>IF(ISNUMBER(VLOOKUP(LEFT(D344,3),'Material editor'!$D$11:$H$110,'Material editor'!$H$8,0)),VLOOKUP(LEFT(D344,3),'Material editor'!$D$11:$H$110,'Material editor'!$H$8,0),"")</f>
        <v/>
      </c>
      <c r="K344" s="422"/>
      <c r="L344" s="419"/>
      <c r="M344" s="94"/>
      <c r="N344" s="136" t="str">
        <f>IF(ISNUMBER(VLOOKUP(LEFT(K344,3),'Material editor'!$D$11:$H$110,'Material editor'!$E$8,0)),VLOOKUP(LEFT(K344,3),'Material editor'!$D$11:$H$110,'Material editor'!$E$8,0),"")</f>
        <v/>
      </c>
      <c r="O344" s="137" t="str">
        <f>IF(ISNUMBER(VLOOKUP(LEFT(K344,3),'Material editor'!$D$11:$H$110,'Material editor'!$F$8,0)),VLOOKUP(LEFT(K344,3),'Material editor'!$D$11:$H$110,'Material editor'!$F$8,0),"")</f>
        <v/>
      </c>
      <c r="P344" s="137" t="str">
        <f>IF(ISNUMBER(VLOOKUP(LEFT(K344,3),'Material editor'!$D$11:$H$110,'Material editor'!$G$8,0)),VLOOKUP(LEFT(K344,3),'Material editor'!$D$11:$H$110,'Material editor'!$G$8,0),"")</f>
        <v/>
      </c>
      <c r="Q344" s="137" t="str">
        <f>IF(ISNUMBER(VLOOKUP(LEFT(K344,3),'Material editor'!$D$11:$H$110,'Material editor'!$H$8,0)),VLOOKUP(LEFT(K344,3),'Material editor'!$D$11:$H$110,'Material editor'!$H$8,0),"")</f>
        <v/>
      </c>
      <c r="R344" s="418"/>
      <c r="S344" s="407"/>
      <c r="T344" s="94"/>
      <c r="U344" s="136" t="str">
        <f>IF(ISNUMBER(VLOOKUP(LEFT(R344,3),'Material editor'!$D$11:$H$110,'Material editor'!$E$8,0)),VLOOKUP(LEFT(R344,3),'Material editor'!$D$11:$H$110,'Material editor'!$E$8,0),"")</f>
        <v/>
      </c>
      <c r="V344" s="137" t="str">
        <f>IF(ISNUMBER(VLOOKUP(LEFT(R344,3),'Material editor'!$D$11:$H$110,'Material editor'!$F$8,0)),VLOOKUP(LEFT(R344,3),'Material editor'!$D$11:$H$110,'Material editor'!$F$8,0),"")</f>
        <v/>
      </c>
      <c r="W344" s="137" t="str">
        <f>IF(ISNUMBER(VLOOKUP(LEFT(R344,3),'Material editor'!$D$11:$H$110,'Material editor'!$G$8,0)),VLOOKUP(LEFT(R344,3),'Material editor'!$D$11:$H$110,'Material editor'!$G$8,0),"")</f>
        <v/>
      </c>
      <c r="X344" s="137" t="str">
        <f>IF(ISNUMBER(VLOOKUP(LEFT(R344,3),'Material editor'!$D$11:$H$110,'Material editor'!$H$8,0)),VLOOKUP(LEFT(R344,3),'Material editor'!$D$11:$H$110,'Material editor'!$H$8,0),"")</f>
        <v/>
      </c>
      <c r="Y344" s="74"/>
      <c r="Z344" s="94"/>
      <c r="AA344" s="8"/>
      <c r="AB344" s="61"/>
      <c r="AC344" s="65"/>
      <c r="AD344" s="65"/>
      <c r="AE344" s="95">
        <f t="shared" si="242"/>
        <v>0</v>
      </c>
      <c r="AF344" s="95">
        <f t="shared" si="243"/>
        <v>0</v>
      </c>
      <c r="AG344" s="95">
        <f t="shared" si="244"/>
        <v>0</v>
      </c>
      <c r="AH344" s="65"/>
      <c r="AI344" s="95">
        <f>IF(ISNUMBER(G344),G344,0)</f>
        <v>0</v>
      </c>
      <c r="AJ344" s="95">
        <f t="shared" si="246"/>
        <v>0</v>
      </c>
      <c r="AK344" s="95">
        <f t="shared" si="247"/>
        <v>0</v>
      </c>
      <c r="AL344" s="65"/>
      <c r="AM344" s="96">
        <f t="shared" ref="AM344:AO344" si="257">AM343</f>
        <v>0.90400000000000003</v>
      </c>
      <c r="AN344" s="96">
        <f t="shared" si="257"/>
        <v>9.6000000000000002E-2</v>
      </c>
      <c r="AO344" s="96">
        <f t="shared" si="257"/>
        <v>0</v>
      </c>
      <c r="AP344" s="65">
        <f t="shared" si="248"/>
        <v>0</v>
      </c>
      <c r="AQ344" s="65"/>
      <c r="AR344" s="65"/>
      <c r="AS344" s="66"/>
      <c r="AT344" s="95">
        <f>IF(ISNUMBER(H344),H344*F344*Z344/1000*Balance!$H$13/J344,0)</f>
        <v>0</v>
      </c>
      <c r="AU344" s="95">
        <f>IF(ISTEXT(K344),IF(ISNUMBER(O344),O344*M344*Z344/1000*Balance!$H$13/Q344,0),AT344)</f>
        <v>0</v>
      </c>
      <c r="AV344" s="95">
        <f>IF(ISTEXT(R344),IF(ISNUMBER(V344),V344*T344*Z344/1000*Balance!$H$13/X344,0),AT344)</f>
        <v>0</v>
      </c>
      <c r="AW344" s="66"/>
      <c r="AX344" s="95">
        <f>AT344*AX335</f>
        <v>0</v>
      </c>
      <c r="AY344" s="95">
        <f>AU344*AY335</f>
        <v>0</v>
      </c>
      <c r="AZ344" s="95">
        <f>AV344*AZ335</f>
        <v>0</v>
      </c>
      <c r="BA344" s="95">
        <f t="shared" si="250"/>
        <v>0</v>
      </c>
      <c r="BB344" s="66"/>
      <c r="BC344" s="95">
        <f>IF(ISNUMBER(I344),I344*F344*Z344/1000*Balance!$H$13/J344,0)</f>
        <v>0</v>
      </c>
      <c r="BD344" s="95">
        <f>IF(ISTEXT(K344),IF(ISNUMBER(P344),P344*M344*Z344/1000*Balance!$H$13/Q344,0),BC344)</f>
        <v>0</v>
      </c>
      <c r="BE344" s="95">
        <f>IF(ISTEXT(R344),IF(ISNUMBER(W344),W344*T344*Z344/1000*Balance!$H$13/X344,0),BC344)</f>
        <v>0</v>
      </c>
      <c r="BF344" s="66"/>
      <c r="BG344" s="95">
        <f>BC344*BG335</f>
        <v>0</v>
      </c>
      <c r="BH344" s="95">
        <f>BD344*BH335</f>
        <v>0</v>
      </c>
      <c r="BI344" s="95">
        <f>BE344*BI335</f>
        <v>0</v>
      </c>
      <c r="BJ344" s="95">
        <f t="shared" si="251"/>
        <v>0</v>
      </c>
      <c r="BK344" s="66"/>
      <c r="BL344" s="66"/>
      <c r="BM344" s="66"/>
    </row>
    <row r="345" spans="2:65" outlineLevel="1" x14ac:dyDescent="0.25">
      <c r="B345" s="201"/>
      <c r="C345" s="77"/>
      <c r="D345" s="125">
        <f>MAX(0,1-K345-R345)</f>
        <v>0.90400000000000003</v>
      </c>
      <c r="E345" s="126" t="s">
        <v>141</v>
      </c>
      <c r="F345" s="126"/>
      <c r="H345" s="97"/>
      <c r="I345" s="97"/>
      <c r="J345" s="97"/>
      <c r="K345" s="100">
        <f>6/62.5</f>
        <v>9.6000000000000002E-2</v>
      </c>
      <c r="L345" s="126" t="s">
        <v>138</v>
      </c>
      <c r="M345" s="126"/>
      <c r="R345" s="100"/>
      <c r="S345" s="126" t="s">
        <v>139</v>
      </c>
      <c r="T345" s="126"/>
      <c r="V345" s="67"/>
      <c r="Y345" s="74"/>
      <c r="Z345" s="5" t="s">
        <v>140</v>
      </c>
      <c r="AA345" s="8"/>
      <c r="AB345" s="61"/>
      <c r="AC345" s="98"/>
      <c r="AD345" s="98" t="s">
        <v>124</v>
      </c>
      <c r="AE345" s="99">
        <f>IF(ISNUMBER($G337),1/($D332+SUM(AE337:AE344)+$D333),0)</f>
        <v>0.12738615737089906</v>
      </c>
      <c r="AF345" s="99">
        <f>IF(ISNUMBER($G337),1/($D332+SUM(AF337:AF344)+$D333),0)</f>
        <v>0.29937821447762342</v>
      </c>
      <c r="AG345" s="99">
        <f>IF(ISNUMBER($G337),1/($D332+SUM(AG337:AG344)+$D333),0)</f>
        <v>0.12738615737089906</v>
      </c>
      <c r="AH345" s="65"/>
      <c r="AI345" s="65"/>
      <c r="AJ345" s="65"/>
      <c r="AK345" s="65"/>
      <c r="AL345" s="65"/>
      <c r="AM345" s="65"/>
      <c r="AN345" s="65"/>
      <c r="AO345" s="65"/>
      <c r="AP345" s="65"/>
      <c r="AQ345" s="65"/>
      <c r="AR345" s="65"/>
      <c r="AS345" s="66"/>
      <c r="AT345" s="66"/>
      <c r="AU345" s="66"/>
      <c r="AV345" s="66"/>
      <c r="AW345" s="66"/>
      <c r="AX345" s="66"/>
      <c r="AY345" s="66"/>
      <c r="AZ345" s="66"/>
      <c r="BA345" s="66"/>
      <c r="BB345" s="66"/>
      <c r="BC345" s="66"/>
      <c r="BD345" s="66"/>
      <c r="BE345" s="66"/>
      <c r="BF345" s="66"/>
      <c r="BG345" s="66"/>
      <c r="BH345" s="66"/>
      <c r="BI345" s="66"/>
      <c r="BJ345" s="66"/>
      <c r="BK345" s="66"/>
      <c r="BL345" s="66"/>
      <c r="BM345" s="66"/>
    </row>
    <row r="346" spans="2:65" outlineLevel="1" x14ac:dyDescent="0.25">
      <c r="B346" s="201"/>
      <c r="C346" s="77"/>
      <c r="D346" s="41"/>
      <c r="E346" s="116" t="s">
        <v>150</v>
      </c>
      <c r="F346" s="116"/>
      <c r="H346" s="68"/>
      <c r="I346" s="68"/>
      <c r="J346" s="68"/>
      <c r="K346" s="157" t="str">
        <f>IF(AE352&lt;=0.1,"","Der Fehler der U-Wert-Berechnung liegt möglicherweise über 10 %. Wärmebrückenberechnung?")</f>
        <v/>
      </c>
      <c r="L346" s="68"/>
      <c r="M346" s="68"/>
      <c r="N346" s="68"/>
      <c r="R346" s="5"/>
      <c r="S346" s="5"/>
      <c r="T346" s="5"/>
      <c r="U346" s="68"/>
      <c r="V346" s="68"/>
      <c r="X346" s="68"/>
      <c r="Y346" s="5"/>
      <c r="Z346" s="189">
        <f>IF(ISNUMBER(Z337),SUM(Z337:Z345)/10,"")</f>
        <v>32.1</v>
      </c>
      <c r="AA346" s="10" t="s">
        <v>8</v>
      </c>
      <c r="AB346" s="61"/>
      <c r="AC346" s="98"/>
      <c r="AD346" s="98" t="s">
        <v>125</v>
      </c>
      <c r="AE346" s="101">
        <f>1-SUM(AF346:AG346)</f>
        <v>0.90400000000000003</v>
      </c>
      <c r="AF346" s="102">
        <f>K345</f>
        <v>9.6000000000000002E-2</v>
      </c>
      <c r="AG346" s="102">
        <f>R345</f>
        <v>0</v>
      </c>
      <c r="AH346" s="98"/>
      <c r="AI346" s="65"/>
      <c r="AJ346" s="65"/>
      <c r="AK346" s="65"/>
      <c r="AL346" s="65"/>
      <c r="AM346" s="65"/>
      <c r="AN346" s="65"/>
      <c r="AO346" s="65"/>
      <c r="AP346" s="65"/>
      <c r="AQ346" s="65"/>
      <c r="AR346" s="65" t="s">
        <v>393</v>
      </c>
      <c r="AS346" s="148"/>
      <c r="AT346" s="175" t="s">
        <v>393</v>
      </c>
      <c r="AU346" s="65" t="s">
        <v>366</v>
      </c>
      <c r="AV346" s="65" t="s">
        <v>355</v>
      </c>
      <c r="AW346" s="66"/>
      <c r="AX346" s="65" t="s">
        <v>394</v>
      </c>
      <c r="AY346" s="65" t="s">
        <v>356</v>
      </c>
      <c r="AZ346" s="66"/>
      <c r="BA346" s="66"/>
      <c r="BB346" s="66"/>
      <c r="BC346" s="66"/>
      <c r="BD346" s="66"/>
      <c r="BE346" s="66"/>
      <c r="BF346" s="66"/>
      <c r="BG346" s="66"/>
      <c r="BH346" s="66"/>
      <c r="BI346" s="66"/>
      <c r="BJ346" s="66"/>
      <c r="BK346" s="66"/>
      <c r="BL346" s="66"/>
      <c r="BM346" s="66"/>
    </row>
    <row r="347" spans="2:65" outlineLevel="1" x14ac:dyDescent="0.25">
      <c r="B347" s="201"/>
      <c r="C347" s="77"/>
      <c r="D347" s="68"/>
      <c r="E347" s="68"/>
      <c r="F347" s="68"/>
      <c r="G347" s="68"/>
      <c r="H347" s="68"/>
      <c r="I347" s="68"/>
      <c r="J347" s="68"/>
      <c r="K347" s="68"/>
      <c r="L347" s="68"/>
      <c r="M347" s="68"/>
      <c r="N347" s="68"/>
      <c r="O347" s="68"/>
      <c r="P347" s="68"/>
      <c r="Q347" s="68"/>
      <c r="R347" s="68"/>
      <c r="T347" s="68"/>
      <c r="U347" s="68"/>
      <c r="V347" s="68"/>
      <c r="W347" s="68"/>
      <c r="X347" s="68"/>
      <c r="Y347" s="5"/>
      <c r="Z347" s="67"/>
      <c r="AA347" s="8"/>
      <c r="AB347" s="61"/>
      <c r="AC347" s="101"/>
      <c r="AD347" s="101"/>
      <c r="AE347" s="99"/>
      <c r="AF347" s="99"/>
      <c r="AG347" s="99"/>
      <c r="AH347" s="65"/>
      <c r="AI347" s="65"/>
      <c r="AJ347" s="65"/>
      <c r="AK347" s="65"/>
      <c r="AL347" s="65"/>
      <c r="AM347" s="65"/>
      <c r="AN347" s="65"/>
      <c r="AO347" s="65"/>
      <c r="AP347" s="65"/>
      <c r="AQ347" s="65"/>
      <c r="AR347" s="65"/>
      <c r="AS347" s="65"/>
      <c r="AT347" s="101" t="s">
        <v>367</v>
      </c>
      <c r="AU347" s="176">
        <f>Z348*F332*Balance!$H$6</f>
        <v>11.683061050062474</v>
      </c>
      <c r="AV347" s="176">
        <f>AU347*Balance!$H$13</f>
        <v>233.66122100124949</v>
      </c>
      <c r="AW347" s="66"/>
      <c r="AX347" s="66"/>
      <c r="AY347" s="66"/>
      <c r="AZ347" s="66"/>
      <c r="BA347" s="101" t="s">
        <v>351</v>
      </c>
      <c r="BB347" s="66"/>
      <c r="BC347" s="66"/>
      <c r="BD347" s="66"/>
      <c r="BE347" s="66"/>
      <c r="BF347" s="66"/>
      <c r="BG347" s="66"/>
      <c r="BH347" s="66"/>
      <c r="BI347" s="66"/>
      <c r="BJ347" s="66"/>
      <c r="BK347" s="66"/>
      <c r="BL347" s="66"/>
      <c r="BM347" s="66"/>
    </row>
    <row r="348" spans="2:65" ht="18" outlineLevel="1" x14ac:dyDescent="0.35">
      <c r="B348" s="201"/>
      <c r="C348" s="77"/>
      <c r="H348" s="68"/>
      <c r="I348" s="68"/>
      <c r="J348" s="67"/>
      <c r="K348" s="192" t="s">
        <v>397</v>
      </c>
      <c r="L348" s="67"/>
      <c r="M348" s="67"/>
      <c r="N348" s="67"/>
      <c r="O348" s="67"/>
      <c r="P348" s="67"/>
      <c r="Q348" s="67"/>
      <c r="R348" s="14" t="s">
        <v>398</v>
      </c>
      <c r="U348" s="68"/>
      <c r="V348" s="68"/>
      <c r="W348" s="68"/>
      <c r="X348" s="68"/>
      <c r="Y348" s="127" t="s">
        <v>154</v>
      </c>
      <c r="Z348" s="193">
        <f>IF(ISNUMBER(G337),IF(AE352&lt;0.1,1/AE348,1/(AP348*1.1))+D346,"")</f>
        <v>0.14788684873496802</v>
      </c>
      <c r="AA348" s="8" t="s">
        <v>10</v>
      </c>
      <c r="AB348" s="61"/>
      <c r="AC348" s="101"/>
      <c r="AD348" s="101" t="s">
        <v>126</v>
      </c>
      <c r="AE348" s="95">
        <f>IF(ISNUMBER(G337),AVERAGE(AG348,AP348),0)</f>
        <v>6.7619264901108735</v>
      </c>
      <c r="AF348" s="101" t="s">
        <v>127</v>
      </c>
      <c r="AG348" s="95">
        <f>IF(ISNUMBER(G337),1/SUMPRODUCT(AE346:AG346,AE345:AG345),0)</f>
        <v>6.9493961375781428</v>
      </c>
      <c r="AH348" s="65"/>
      <c r="AI348" s="65"/>
      <c r="AJ348" s="65"/>
      <c r="AK348" s="65"/>
      <c r="AL348" s="103"/>
      <c r="AM348" s="65"/>
      <c r="AN348" s="65"/>
      <c r="AO348" s="101" t="s">
        <v>128</v>
      </c>
      <c r="AP348" s="95">
        <f>$D332+SUM(AP337:AP344)+$D333</f>
        <v>6.5744568426436043</v>
      </c>
      <c r="AQ348" s="65"/>
      <c r="AR348" s="65"/>
      <c r="AS348" s="152" t="str">
        <f>Data!$D$4</f>
        <v>Heat pump</v>
      </c>
      <c r="AT348" s="177" t="s">
        <v>374</v>
      </c>
      <c r="AU348" s="179">
        <f>AU347/(Balance!$H$17*Balance!$H$18*Balance!$H$19)*Balance!$H$22</f>
        <v>7.7887073667083158</v>
      </c>
      <c r="AV348" s="176">
        <f>AU348*Balance!$H$13</f>
        <v>155.77414733416632</v>
      </c>
      <c r="AW348" s="66"/>
      <c r="AX348" s="186">
        <f ca="1">AU347/(Balance!$H$17*Balance!$H$18*Balance!$H$19)*Balance!$G$22/1000</f>
        <v>1.4712002803782376</v>
      </c>
      <c r="AY348" s="176">
        <f ca="1">AX348*Balance!$H$13</f>
        <v>29.424005607564752</v>
      </c>
      <c r="AZ348" s="101"/>
      <c r="BA348" s="95">
        <f>SUM(BA337:BA344)</f>
        <v>73.020901886601237</v>
      </c>
      <c r="BB348" s="66" t="s">
        <v>355</v>
      </c>
      <c r="BC348" s="66"/>
      <c r="BD348" s="66"/>
      <c r="BE348" s="66"/>
      <c r="BF348" s="66"/>
      <c r="BG348" s="66"/>
      <c r="BH348" s="66"/>
      <c r="BI348" s="101" t="s">
        <v>149</v>
      </c>
      <c r="BJ348" s="95">
        <f>SUM(BJ337:BJ344)</f>
        <v>-1.4449831937784476</v>
      </c>
      <c r="BK348" s="66" t="s">
        <v>357</v>
      </c>
      <c r="BL348" s="66"/>
      <c r="BM348" s="66"/>
    </row>
    <row r="349" spans="2:65" ht="15.75" outlineLevel="1" x14ac:dyDescent="0.25">
      <c r="B349" s="201"/>
      <c r="C349" s="77"/>
      <c r="D349" s="155"/>
      <c r="E349" s="188" t="s">
        <v>395</v>
      </c>
      <c r="F349" s="116"/>
      <c r="H349" s="68"/>
      <c r="I349" s="68"/>
      <c r="J349" s="67"/>
      <c r="K349" s="190">
        <f>BA348</f>
        <v>73.020901886601237</v>
      </c>
      <c r="L349" s="128" t="s">
        <v>400</v>
      </c>
      <c r="M349" s="67"/>
      <c r="N349" s="67"/>
      <c r="O349" s="67"/>
      <c r="P349" s="67"/>
      <c r="Q349" s="67"/>
      <c r="R349" s="190">
        <f>BJ348</f>
        <v>-1.4449831937784476</v>
      </c>
      <c r="S349" s="128" t="s">
        <v>399</v>
      </c>
      <c r="U349" s="68"/>
      <c r="V349" s="68"/>
      <c r="W349" s="68"/>
      <c r="X349" s="68"/>
      <c r="Y349" s="67"/>
      <c r="Z349" s="67"/>
      <c r="AA349" s="8"/>
      <c r="AB349" s="61"/>
      <c r="AC349" s="101"/>
      <c r="AD349" s="101"/>
      <c r="AE349" s="154"/>
      <c r="AF349" s="101"/>
      <c r="AG349" s="154"/>
      <c r="AH349" s="65"/>
      <c r="AI349" s="65"/>
      <c r="AJ349" s="65"/>
      <c r="AK349" s="65"/>
      <c r="AL349" s="103"/>
      <c r="AM349" s="65"/>
      <c r="AN349" s="65"/>
      <c r="AO349" s="101"/>
      <c r="AP349" s="154"/>
      <c r="AQ349" s="65"/>
      <c r="AR349" s="65"/>
      <c r="AS349" s="152" t="str">
        <f>Data!$D$5</f>
        <v>Direct electric</v>
      </c>
      <c r="AT349" s="177" t="s">
        <v>374</v>
      </c>
      <c r="AU349" s="179">
        <f>AU347/Balance!$H$18*Balance!$H$22</f>
        <v>21.029509890112454</v>
      </c>
      <c r="AV349" s="176">
        <f>AU349*Balance!$H$13</f>
        <v>420.59019780224907</v>
      </c>
      <c r="AW349" s="66"/>
      <c r="AX349" s="186">
        <f ca="1">AU347/Balance!$H$18*Balance!$G$22/1000</f>
        <v>3.972240757021241</v>
      </c>
      <c r="AY349" s="176">
        <f ca="1">AX349*Balance!$H$13</f>
        <v>79.444815140424822</v>
      </c>
      <c r="AZ349" s="101"/>
      <c r="BA349" s="154"/>
      <c r="BB349" s="66"/>
      <c r="BC349" s="66"/>
      <c r="BD349" s="66"/>
      <c r="BE349" s="66"/>
      <c r="BF349" s="66"/>
      <c r="BG349" s="66"/>
      <c r="BH349" s="66"/>
      <c r="BI349" s="101"/>
      <c r="BJ349" s="154"/>
      <c r="BK349" s="66"/>
      <c r="BL349" s="66"/>
      <c r="BM349" s="66"/>
    </row>
    <row r="350" spans="2:65" ht="15.75" outlineLevel="1" x14ac:dyDescent="0.25">
      <c r="B350" s="201"/>
      <c r="C350" s="77"/>
      <c r="D350" s="155"/>
      <c r="E350" s="188" t="s">
        <v>396</v>
      </c>
      <c r="F350" s="116"/>
      <c r="H350" s="68"/>
      <c r="I350" s="68"/>
      <c r="J350" s="67"/>
      <c r="K350" s="190">
        <f>AV352</f>
        <v>155.77414733416632</v>
      </c>
      <c r="L350" s="128" t="s">
        <v>401</v>
      </c>
      <c r="M350" s="67"/>
      <c r="N350" s="67"/>
      <c r="O350" s="67"/>
      <c r="P350" s="67"/>
      <c r="Q350" s="67"/>
      <c r="R350" s="190">
        <f ca="1">AY352</f>
        <v>29.424005607564752</v>
      </c>
      <c r="S350" s="128" t="s">
        <v>358</v>
      </c>
      <c r="U350" s="68"/>
      <c r="V350" s="68"/>
      <c r="W350" s="68"/>
      <c r="X350" s="68"/>
      <c r="Y350" s="67"/>
      <c r="Z350" s="67"/>
      <c r="AA350" s="8"/>
      <c r="AB350" s="61"/>
      <c r="AC350" s="101"/>
      <c r="AD350" s="101"/>
      <c r="AE350" s="154"/>
      <c r="AF350" s="101"/>
      <c r="AG350" s="154"/>
      <c r="AH350" s="65"/>
      <c r="AI350" s="65"/>
      <c r="AJ350" s="65"/>
      <c r="AK350" s="65"/>
      <c r="AL350" s="103"/>
      <c r="AM350" s="65"/>
      <c r="AN350" s="65"/>
      <c r="AO350" s="101"/>
      <c r="AP350" s="154"/>
      <c r="AQ350" s="65"/>
      <c r="AR350" s="65"/>
      <c r="AS350" s="152" t="str">
        <f>Data!$D$6</f>
        <v>Gas boiler</v>
      </c>
      <c r="AT350" s="177" t="s">
        <v>374</v>
      </c>
      <c r="AU350" s="179">
        <f>AU347/(Balance!$H$18*Balance!$H$19)*Balance!H$23</f>
        <v>22.717063152899254</v>
      </c>
      <c r="AV350" s="176">
        <f>AU350*Balance!$H$13</f>
        <v>454.34126305798509</v>
      </c>
      <c r="AW350" s="66"/>
      <c r="AX350" s="186">
        <f ca="1">AU347/(Balance!$H$18*Balance!$H$19)*Balance!$G$23/1000</f>
        <v>3.2375678438995865</v>
      </c>
      <c r="AY350" s="176">
        <f ca="1">AX350*Balance!$H$13</f>
        <v>64.751356877991725</v>
      </c>
      <c r="AZ350" s="101"/>
      <c r="BA350" s="154"/>
      <c r="BB350" s="66"/>
      <c r="BC350" s="66"/>
      <c r="BD350" s="66"/>
      <c r="BE350" s="66"/>
      <c r="BF350" s="66"/>
      <c r="BG350" s="66"/>
      <c r="BH350" s="66"/>
      <c r="BI350" s="101"/>
      <c r="BJ350" s="154"/>
      <c r="BK350" s="66"/>
      <c r="BL350" s="66"/>
      <c r="BM350" s="66"/>
    </row>
    <row r="351" spans="2:65" ht="15.75" outlineLevel="1" x14ac:dyDescent="0.25">
      <c r="B351" s="201"/>
      <c r="C351" s="77"/>
      <c r="D351" s="155"/>
      <c r="E351" s="188" t="s">
        <v>352</v>
      </c>
      <c r="F351" s="116"/>
      <c r="H351" s="68"/>
      <c r="I351" s="68"/>
      <c r="J351" s="67"/>
      <c r="K351" s="191">
        <f>K350+K349</f>
        <v>228.79504922076757</v>
      </c>
      <c r="L351" s="128" t="s">
        <v>355</v>
      </c>
      <c r="M351" s="67"/>
      <c r="N351" s="67"/>
      <c r="O351" s="67"/>
      <c r="P351" s="67"/>
      <c r="Q351" s="67"/>
      <c r="R351" s="191">
        <f ca="1">R350+R349</f>
        <v>27.979022413786304</v>
      </c>
      <c r="S351" s="128" t="s">
        <v>358</v>
      </c>
      <c r="T351" s="153"/>
      <c r="U351" s="68"/>
      <c r="V351" s="68"/>
      <c r="W351" s="68"/>
      <c r="X351" s="68"/>
      <c r="Y351" s="67"/>
      <c r="Z351" s="67"/>
      <c r="AA351" s="8"/>
      <c r="AB351" s="61"/>
      <c r="AC351" s="101"/>
      <c r="AD351" s="101"/>
      <c r="AE351" s="154"/>
      <c r="AF351" s="101"/>
      <c r="AG351" s="154"/>
      <c r="AH351" s="65"/>
      <c r="AI351" s="65"/>
      <c r="AJ351" s="65"/>
      <c r="AK351" s="65"/>
      <c r="AL351" s="103"/>
      <c r="AM351" s="65"/>
      <c r="AN351" s="65"/>
      <c r="AO351" s="101"/>
      <c r="AP351" s="154"/>
      <c r="AQ351" s="65"/>
      <c r="AR351" s="65"/>
      <c r="AS351" s="152" t="str">
        <f>Data!$D$7</f>
        <v>Biomass</v>
      </c>
      <c r="AT351" s="177" t="s">
        <v>374</v>
      </c>
      <c r="AU351" s="179">
        <f>AU347/(Balance!$H$18*Balance!$H$19)*Balance!$H$24</f>
        <v>14.279296838965246</v>
      </c>
      <c r="AV351" s="176">
        <f>AU351*Balance!$H$13</f>
        <v>285.58593677930492</v>
      </c>
      <c r="AW351" s="66"/>
      <c r="AX351" s="186">
        <f ca="1">AU347/(Balance!$H$18*Balance!$H$19)*Balance!$G$24/1000</f>
        <v>0.27585005257091949</v>
      </c>
      <c r="AY351" s="176">
        <f ca="1">AX351*Balance!$H$13</f>
        <v>5.51700105141839</v>
      </c>
      <c r="AZ351" s="101"/>
      <c r="BA351" s="154"/>
      <c r="BB351" s="66"/>
      <c r="BC351" s="66"/>
      <c r="BD351" s="66"/>
      <c r="BE351" s="66"/>
      <c r="BF351" s="66"/>
      <c r="BG351" s="66"/>
      <c r="BH351" s="66"/>
      <c r="BI351" s="101"/>
      <c r="BJ351" s="154"/>
      <c r="BK351" s="66"/>
      <c r="BL351" s="66"/>
      <c r="BM351" s="66"/>
    </row>
    <row r="352" spans="2:65" outlineLevel="1" x14ac:dyDescent="0.25">
      <c r="B352" s="201"/>
      <c r="C352" s="104"/>
      <c r="D352" s="105"/>
      <c r="E352" s="106"/>
      <c r="F352" s="106"/>
      <c r="G352" s="106"/>
      <c r="H352" s="107"/>
      <c r="I352" s="107"/>
      <c r="J352" s="107"/>
      <c r="K352" s="106"/>
      <c r="L352" s="106"/>
      <c r="M352" s="106"/>
      <c r="N352" s="106"/>
      <c r="O352" s="106"/>
      <c r="P352" s="106"/>
      <c r="Q352" s="106"/>
      <c r="R352" s="106"/>
      <c r="S352" s="106"/>
      <c r="T352" s="106"/>
      <c r="U352" s="106"/>
      <c r="V352" s="106"/>
      <c r="W352" s="106"/>
      <c r="X352" s="106"/>
      <c r="Y352" s="106"/>
      <c r="Z352" s="108"/>
      <c r="AA352" s="109"/>
      <c r="AB352" s="61"/>
      <c r="AC352" s="101"/>
      <c r="AD352" s="101" t="s">
        <v>129</v>
      </c>
      <c r="AE352" s="110">
        <f>IF(ISNUMBER(G337),(AG348-AP348)/(2*AE348),0)</f>
        <v>2.7724295397389829E-2</v>
      </c>
      <c r="AF352" s="111"/>
      <c r="AG352" s="65"/>
      <c r="AH352" s="101"/>
      <c r="AI352" s="65"/>
      <c r="AJ352" s="65"/>
      <c r="AK352" s="65"/>
      <c r="AL352" s="65"/>
      <c r="AM352" s="65"/>
      <c r="AN352" s="65"/>
      <c r="AO352" s="65"/>
      <c r="AP352" s="66"/>
      <c r="AQ352" s="65"/>
      <c r="AR352" s="65"/>
      <c r="AS352" s="178" t="str">
        <f>Balance!$G$16</f>
        <v>Heat pump</v>
      </c>
      <c r="AT352" s="66"/>
      <c r="AU352" s="185">
        <f>VLOOKUP(AS352,AS348:AU351,3,0)</f>
        <v>7.7887073667083158</v>
      </c>
      <c r="AV352" s="185">
        <f>VLOOKUP(AS352,AS348:AV351,4,0)</f>
        <v>155.77414733416632</v>
      </c>
      <c r="AW352" s="185"/>
      <c r="AX352" s="187">
        <f ca="1">VLOOKUP(AS352,AS348:AX351,6,0)</f>
        <v>1.4712002803782376</v>
      </c>
      <c r="AY352" s="185">
        <f ca="1">VLOOKUP(AS352,AS348:AY351,7,0)</f>
        <v>29.424005607564752</v>
      </c>
      <c r="AZ352" s="66"/>
      <c r="BA352" s="66"/>
      <c r="BB352" s="66"/>
      <c r="BC352" s="66"/>
      <c r="BD352" s="66"/>
      <c r="BE352" s="66"/>
      <c r="BF352" s="66"/>
      <c r="BG352" s="66"/>
      <c r="BH352" s="66"/>
      <c r="BI352" s="66"/>
      <c r="BJ352" s="66"/>
      <c r="BK352" s="66"/>
      <c r="BL352" s="66"/>
      <c r="BM352" s="66"/>
    </row>
    <row r="353" spans="2:65" outlineLevel="1" x14ac:dyDescent="0.25">
      <c r="B353" s="201"/>
    </row>
    <row r="354" spans="2:65" outlineLevel="1" x14ac:dyDescent="0.25">
      <c r="B354" s="201"/>
      <c r="C354" s="62"/>
      <c r="D354" s="114" t="s">
        <v>131</v>
      </c>
      <c r="E354" s="115" t="s">
        <v>132</v>
      </c>
      <c r="F354" s="115"/>
      <c r="G354" s="63"/>
      <c r="H354" s="63"/>
      <c r="I354" s="63"/>
      <c r="J354" s="63"/>
      <c r="K354" s="63"/>
      <c r="L354" s="63"/>
      <c r="M354" s="63"/>
      <c r="N354" s="63"/>
      <c r="O354" s="63"/>
      <c r="P354" s="63"/>
      <c r="Q354" s="63"/>
      <c r="R354" s="63"/>
      <c r="S354" s="63"/>
      <c r="T354" s="63"/>
      <c r="U354" s="63"/>
      <c r="V354" s="63"/>
      <c r="W354" s="63"/>
      <c r="X354" s="63"/>
      <c r="Y354" s="63"/>
      <c r="Z354" s="63"/>
      <c r="AA354" s="64"/>
      <c r="AB354" s="61"/>
      <c r="AC354" s="65" t="s">
        <v>402</v>
      </c>
      <c r="AD354" s="65"/>
      <c r="AE354" s="65"/>
      <c r="AF354" s="65"/>
      <c r="AG354" s="65"/>
      <c r="AH354" s="65"/>
      <c r="AI354" s="65"/>
      <c r="AJ354" s="65"/>
      <c r="AK354" s="65"/>
      <c r="AL354" s="65"/>
      <c r="AM354" s="65"/>
      <c r="AN354" s="65"/>
      <c r="AO354" s="65"/>
      <c r="AP354" s="65"/>
      <c r="AQ354" s="66"/>
      <c r="AR354" s="65" t="s">
        <v>405</v>
      </c>
      <c r="AS354" s="65"/>
      <c r="AT354" s="65"/>
      <c r="AU354" s="65"/>
      <c r="AV354" s="65"/>
      <c r="AW354" s="65"/>
      <c r="AX354" s="65"/>
      <c r="AY354" s="65"/>
      <c r="AZ354" s="65"/>
      <c r="BA354" s="65"/>
      <c r="BB354" s="65" t="s">
        <v>403</v>
      </c>
      <c r="BC354" s="65"/>
      <c r="BD354" s="65"/>
      <c r="BE354" s="65"/>
      <c r="BF354" s="65"/>
      <c r="BG354" s="65"/>
      <c r="BH354" s="65"/>
      <c r="BI354" s="65"/>
      <c r="BJ354" s="65"/>
      <c r="BK354" s="65"/>
      <c r="BL354" s="65"/>
      <c r="BM354" s="65"/>
    </row>
    <row r="355" spans="2:65" ht="15.75" x14ac:dyDescent="0.25">
      <c r="B355" s="201"/>
      <c r="C355" s="69"/>
      <c r="D355" s="70">
        <v>14</v>
      </c>
      <c r="E355" s="71" t="s">
        <v>981</v>
      </c>
      <c r="F355" s="92"/>
      <c r="G355" s="72"/>
      <c r="H355" s="72"/>
      <c r="I355" s="72"/>
      <c r="J355" s="72"/>
      <c r="K355" s="72"/>
      <c r="L355" s="72"/>
      <c r="M355" s="72"/>
      <c r="N355" s="72"/>
      <c r="O355" s="72"/>
      <c r="P355" s="72"/>
      <c r="Q355" s="72"/>
      <c r="R355" s="72"/>
      <c r="S355" s="72"/>
      <c r="T355" s="72"/>
      <c r="U355" s="72"/>
      <c r="V355" s="72"/>
      <c r="W355" s="72"/>
      <c r="X355" s="72"/>
      <c r="Y355" s="72"/>
      <c r="Z355" s="73"/>
      <c r="AA355" s="75"/>
      <c r="AB355" s="61"/>
      <c r="AC355" s="65"/>
      <c r="AD355" s="65"/>
      <c r="AE355" s="76" t="s">
        <v>114</v>
      </c>
      <c r="AF355" s="65"/>
      <c r="AG355" s="65"/>
      <c r="AH355" s="65"/>
      <c r="AI355" s="65"/>
      <c r="AJ355" s="65"/>
      <c r="AK355" s="65"/>
      <c r="AL355" s="65"/>
      <c r="AM355" s="65"/>
      <c r="AN355" s="65"/>
      <c r="AO355" s="65"/>
      <c r="AP355" s="66"/>
      <c r="AQ355" s="65"/>
      <c r="AR355" s="65" t="s">
        <v>404</v>
      </c>
      <c r="AS355" s="65"/>
      <c r="AT355" s="65"/>
      <c r="AU355" s="65"/>
      <c r="AV355" s="65"/>
      <c r="AW355" s="65"/>
      <c r="AX355" s="65"/>
      <c r="AY355" s="65"/>
      <c r="AZ355" s="65"/>
      <c r="BA355" s="65"/>
      <c r="BB355" s="65" t="s">
        <v>407</v>
      </c>
      <c r="BC355" s="65"/>
      <c r="BD355" s="65"/>
      <c r="BE355" s="65"/>
      <c r="BF355" s="65"/>
      <c r="BG355" s="65"/>
      <c r="BH355" s="65"/>
      <c r="BI355" s="65"/>
      <c r="BJ355" s="65"/>
      <c r="BK355" s="65"/>
      <c r="BL355" s="65"/>
      <c r="BM355" s="65"/>
    </row>
    <row r="356" spans="2:65" outlineLevel="1" x14ac:dyDescent="0.25">
      <c r="B356" s="201"/>
      <c r="C356" s="77"/>
      <c r="D356" s="116" t="s">
        <v>133</v>
      </c>
      <c r="E356" s="78"/>
      <c r="F356" s="78"/>
      <c r="AA356" s="75"/>
      <c r="AB356" s="61"/>
      <c r="AC356" s="65"/>
      <c r="AD356" s="65"/>
      <c r="AE356" s="65"/>
      <c r="AF356" s="65"/>
      <c r="AG356" s="65"/>
      <c r="AH356" s="65"/>
      <c r="AI356" s="65"/>
      <c r="AJ356" s="65"/>
      <c r="AK356" s="65"/>
      <c r="AL356" s="65"/>
      <c r="AM356" s="65"/>
      <c r="AN356" s="65"/>
      <c r="AO356" s="65"/>
      <c r="AP356" s="66"/>
      <c r="AQ356" s="65"/>
      <c r="AR356" s="65"/>
      <c r="AS356" s="65"/>
      <c r="AT356" s="65"/>
      <c r="AU356" s="65"/>
      <c r="AV356" s="65"/>
      <c r="AW356" s="65"/>
      <c r="AX356" s="65"/>
      <c r="AY356" s="65"/>
      <c r="AZ356" s="65"/>
      <c r="BA356" s="65"/>
      <c r="BB356" s="65"/>
      <c r="BC356" s="65"/>
      <c r="BD356" s="65"/>
      <c r="BE356" s="65"/>
      <c r="BF356" s="65"/>
      <c r="BG356" s="65"/>
      <c r="BH356" s="65"/>
      <c r="BI356" s="65"/>
      <c r="BJ356" s="65"/>
      <c r="BK356" s="65"/>
      <c r="BL356" s="65"/>
      <c r="BM356" s="65"/>
    </row>
    <row r="357" spans="2:65" outlineLevel="1" x14ac:dyDescent="0.25">
      <c r="B357" s="201"/>
      <c r="C357" s="77"/>
      <c r="D357" s="79">
        <v>0.13</v>
      </c>
      <c r="E357" s="2" t="s">
        <v>151</v>
      </c>
      <c r="F357" s="138">
        <v>1</v>
      </c>
      <c r="G357" s="61"/>
      <c r="H357" s="74"/>
      <c r="I357" s="74"/>
      <c r="J357" s="74"/>
      <c r="K357" s="2" t="s">
        <v>921</v>
      </c>
      <c r="L357" s="74"/>
      <c r="M357" s="74"/>
      <c r="N357" s="74"/>
      <c r="AA357" s="75"/>
      <c r="AB357" s="61"/>
      <c r="AC357" s="65"/>
      <c r="AD357" s="65"/>
      <c r="AE357" s="65" t="s">
        <v>115</v>
      </c>
      <c r="AF357" s="65"/>
      <c r="AG357" s="65"/>
      <c r="AH357" s="65"/>
      <c r="AI357" s="65" t="s">
        <v>116</v>
      </c>
      <c r="AJ357" s="65"/>
      <c r="AK357" s="65"/>
      <c r="AL357" s="65"/>
      <c r="AM357" s="65"/>
      <c r="AN357" s="65"/>
      <c r="AO357" s="65"/>
      <c r="AP357" s="66"/>
      <c r="AQ357" s="65"/>
      <c r="AR357" s="65"/>
      <c r="AS357" s="65"/>
      <c r="AT357" s="65"/>
      <c r="AU357" s="65"/>
      <c r="AV357" s="65"/>
      <c r="AW357" s="65"/>
      <c r="AX357" s="65"/>
      <c r="AY357" s="65"/>
      <c r="AZ357" s="65"/>
      <c r="BA357" s="65"/>
      <c r="BB357" s="65"/>
      <c r="BC357" s="65"/>
      <c r="BD357" s="65"/>
      <c r="BE357" s="65"/>
      <c r="BF357" s="65"/>
      <c r="BG357" s="65"/>
      <c r="BH357" s="65"/>
      <c r="BI357" s="65"/>
      <c r="BJ357" s="65"/>
      <c r="BK357" s="65"/>
      <c r="BL357" s="65"/>
      <c r="BM357" s="65"/>
    </row>
    <row r="358" spans="2:65" ht="15.75" outlineLevel="1" x14ac:dyDescent="0.25">
      <c r="B358" s="201"/>
      <c r="C358" s="77"/>
      <c r="D358" s="79">
        <v>0.04</v>
      </c>
      <c r="E358" s="2" t="s">
        <v>152</v>
      </c>
      <c r="F358" s="2"/>
      <c r="G358" s="61"/>
      <c r="H358" s="74"/>
      <c r="I358" s="74"/>
      <c r="J358" s="74"/>
      <c r="K358" s="74"/>
      <c r="L358" s="74"/>
      <c r="M358" s="74"/>
      <c r="N358" s="74"/>
      <c r="AA358" s="75"/>
      <c r="AB358" s="61"/>
      <c r="AC358" s="65"/>
      <c r="AD358" s="65"/>
      <c r="AE358" s="80" t="s">
        <v>117</v>
      </c>
      <c r="AF358" s="81"/>
      <c r="AG358" s="81"/>
      <c r="AH358" s="65"/>
      <c r="AI358" s="82" t="s">
        <v>118</v>
      </c>
      <c r="AJ358" s="81"/>
      <c r="AK358" s="81"/>
      <c r="AL358" s="65"/>
      <c r="AM358" s="83" t="s">
        <v>119</v>
      </c>
      <c r="AN358" s="84"/>
      <c r="AO358" s="85"/>
      <c r="AP358" s="65"/>
      <c r="AQ358" s="65"/>
      <c r="AR358" s="65"/>
      <c r="AS358" s="65"/>
      <c r="AT358" s="65"/>
      <c r="AU358" s="65"/>
      <c r="AV358" s="65"/>
      <c r="AW358" s="65"/>
      <c r="AX358" s="65"/>
      <c r="AY358" s="65"/>
      <c r="AZ358" s="65"/>
      <c r="BA358" s="65"/>
      <c r="BB358" s="65"/>
      <c r="BC358" s="65"/>
      <c r="BD358" s="65"/>
      <c r="BE358" s="65"/>
      <c r="BF358" s="65"/>
      <c r="BG358" s="65"/>
      <c r="BH358" s="65"/>
      <c r="BI358" s="65"/>
      <c r="BJ358" s="65"/>
      <c r="BK358" s="65"/>
      <c r="BL358" s="65"/>
      <c r="BM358" s="65"/>
    </row>
    <row r="359" spans="2:65" ht="15.75" outlineLevel="1" x14ac:dyDescent="0.25">
      <c r="B359" s="201"/>
      <c r="C359" s="77"/>
      <c r="D359" s="74"/>
      <c r="E359" s="61"/>
      <c r="F359" s="61"/>
      <c r="G359" s="61"/>
      <c r="H359" s="74"/>
      <c r="I359" s="74"/>
      <c r="J359" s="74"/>
      <c r="K359" s="74"/>
      <c r="L359" s="74"/>
      <c r="M359" s="74"/>
      <c r="N359" s="74"/>
      <c r="O359" s="1"/>
      <c r="P359" s="1"/>
      <c r="Q359" s="1"/>
      <c r="AA359" s="75"/>
      <c r="AB359" s="61"/>
      <c r="AC359" s="65"/>
      <c r="AD359" s="65"/>
      <c r="AE359" s="117"/>
      <c r="AF359" s="117"/>
      <c r="AG359" s="117"/>
      <c r="AH359" s="65"/>
      <c r="AI359" s="118"/>
      <c r="AJ359" s="117"/>
      <c r="AK359" s="117"/>
      <c r="AL359" s="65"/>
      <c r="AM359" s="119"/>
      <c r="AN359" s="119"/>
      <c r="AO359" s="119"/>
      <c r="AP359" s="65"/>
      <c r="AQ359" s="65"/>
      <c r="AR359" s="65"/>
      <c r="AS359" s="65"/>
      <c r="AT359" s="148" t="s">
        <v>351</v>
      </c>
      <c r="AU359" s="65"/>
      <c r="AV359" s="65"/>
      <c r="AW359" s="65"/>
      <c r="AX359" s="148"/>
      <c r="AY359" s="65"/>
      <c r="AZ359" s="65"/>
      <c r="BA359" s="65"/>
      <c r="BB359" s="65"/>
      <c r="BC359" s="148" t="s">
        <v>406</v>
      </c>
      <c r="BD359" s="65"/>
      <c r="BE359" s="65"/>
      <c r="BF359" s="65"/>
      <c r="BG359" s="148"/>
      <c r="BH359" s="65"/>
      <c r="BI359" s="65"/>
      <c r="BJ359" s="65"/>
      <c r="BK359" s="65"/>
      <c r="BL359" s="65"/>
      <c r="BM359" s="65"/>
    </row>
    <row r="360" spans="2:65" ht="22.5" outlineLevel="1" x14ac:dyDescent="0.25">
      <c r="B360" s="201"/>
      <c r="C360" s="77"/>
      <c r="D360" s="121" t="str">
        <f>$D$35</f>
        <v>Area section 1</v>
      </c>
      <c r="E360" s="61"/>
      <c r="F360" s="122" t="str">
        <f>$F$35</f>
        <v>Count?</v>
      </c>
      <c r="G360" s="122" t="str">
        <f>$G$35</f>
        <v>Thermal conductivity</v>
      </c>
      <c r="H360" s="122" t="str">
        <f>$H$35</f>
        <v>Manfacturing energy</v>
      </c>
      <c r="I360" s="122" t="str">
        <f>$I$35</f>
        <v>GWP</v>
      </c>
      <c r="J360" s="122" t="str">
        <f>$J$35</f>
        <v>Service life</v>
      </c>
      <c r="K360" s="121" t="str">
        <f>$K$35</f>
        <v>Area section 2 (optional)</v>
      </c>
      <c r="L360" s="121"/>
      <c r="M360" s="122" t="str">
        <f>$M$35</f>
        <v>Count?</v>
      </c>
      <c r="N360" s="122" t="str">
        <f>$N$35</f>
        <v>Thermal conductivity</v>
      </c>
      <c r="O360" s="122" t="str">
        <f>$O$35</f>
        <v>Manfacturing energy</v>
      </c>
      <c r="P360" s="122" t="str">
        <f>$P$35</f>
        <v>GWP</v>
      </c>
      <c r="Q360" s="122" t="str">
        <f>$Q$35</f>
        <v>Service life</v>
      </c>
      <c r="R360" s="121" t="str">
        <f>$R$35</f>
        <v>Area section 3 (optional)</v>
      </c>
      <c r="S360" s="74"/>
      <c r="T360" s="122" t="str">
        <f>$T$35</f>
        <v>Count?</v>
      </c>
      <c r="U360" s="122" t="str">
        <f>$U$35</f>
        <v>Thermal conductivity</v>
      </c>
      <c r="V360" s="122" t="str">
        <f>$V$35</f>
        <v>Manfacturing energy</v>
      </c>
      <c r="W360" s="122" t="str">
        <f>$W$35</f>
        <v>GWP</v>
      </c>
      <c r="X360" s="122" t="str">
        <f>$X$35</f>
        <v>Service life</v>
      </c>
      <c r="Y360" s="74"/>
      <c r="Z360" s="122" t="str">
        <f>$Z$35</f>
        <v>Thickness</v>
      </c>
      <c r="AA360" s="75"/>
      <c r="AB360" s="61"/>
      <c r="AC360" s="65"/>
      <c r="AD360" s="65"/>
      <c r="AE360" s="86"/>
      <c r="AF360" s="87"/>
      <c r="AG360" s="65"/>
      <c r="AH360" s="65"/>
      <c r="AI360" s="65"/>
      <c r="AJ360" s="65"/>
      <c r="AK360" s="65"/>
      <c r="AL360" s="65"/>
      <c r="AM360" s="65"/>
      <c r="AN360" s="65"/>
      <c r="AO360" s="65"/>
      <c r="AP360" s="65"/>
      <c r="AQ360" s="65"/>
      <c r="AR360" s="65"/>
      <c r="AS360" s="65"/>
      <c r="AT360" s="148"/>
      <c r="AU360" s="65"/>
      <c r="AV360" s="65"/>
      <c r="AW360" s="151" t="s">
        <v>353</v>
      </c>
      <c r="AX360" s="149">
        <f>D370</f>
        <v>0.90400000000000003</v>
      </c>
      <c r="AY360" s="150">
        <f>K370</f>
        <v>9.6000000000000002E-2</v>
      </c>
      <c r="AZ360" s="150">
        <f>R370</f>
        <v>0</v>
      </c>
      <c r="BA360" s="156">
        <f>SUM(AX360:AZ360)</f>
        <v>1</v>
      </c>
      <c r="BB360" s="65"/>
      <c r="BC360" s="148"/>
      <c r="BD360" s="65"/>
      <c r="BE360" s="65"/>
      <c r="BF360" s="151" t="s">
        <v>353</v>
      </c>
      <c r="BG360" s="149">
        <f>AX360</f>
        <v>0.90400000000000003</v>
      </c>
      <c r="BH360" s="149">
        <f t="shared" ref="BH360" si="258">AY360</f>
        <v>9.6000000000000002E-2</v>
      </c>
      <c r="BI360" s="149">
        <f t="shared" ref="BI360" si="259">AZ360</f>
        <v>0</v>
      </c>
      <c r="BJ360" s="156">
        <f>SUM(BG360:BI360)</f>
        <v>1</v>
      </c>
      <c r="BK360" s="65"/>
      <c r="BL360" s="65"/>
      <c r="BM360" s="65"/>
    </row>
    <row r="361" spans="2:65" outlineLevel="1" x14ac:dyDescent="0.25">
      <c r="B361" s="201"/>
      <c r="C361" s="77"/>
      <c r="E361" s="61"/>
      <c r="F361" s="120" t="s">
        <v>985</v>
      </c>
      <c r="G361" s="4" t="s">
        <v>135</v>
      </c>
      <c r="H361" s="120" t="s">
        <v>144</v>
      </c>
      <c r="I361" s="120" t="s">
        <v>148</v>
      </c>
      <c r="J361" s="120" t="s">
        <v>146</v>
      </c>
      <c r="K361" s="88"/>
      <c r="L361" s="88"/>
      <c r="M361" s="88"/>
      <c r="N361" s="4" t="s">
        <v>135</v>
      </c>
      <c r="O361" s="120" t="s">
        <v>144</v>
      </c>
      <c r="P361" s="120" t="s">
        <v>148</v>
      </c>
      <c r="Q361" s="120" t="s">
        <v>146</v>
      </c>
      <c r="R361" s="88"/>
      <c r="S361" s="88"/>
      <c r="T361" s="88"/>
      <c r="U361" s="4" t="s">
        <v>135</v>
      </c>
      <c r="V361" s="120" t="s">
        <v>144</v>
      </c>
      <c r="W361" s="120" t="s">
        <v>148</v>
      </c>
      <c r="X361" s="120" t="s">
        <v>146</v>
      </c>
      <c r="Y361" s="74"/>
      <c r="Z361" s="120" t="str">
        <f>$Z$36</f>
        <v>[mm]</v>
      </c>
      <c r="AA361" s="75"/>
      <c r="AB361" s="61"/>
      <c r="AC361" s="65"/>
      <c r="AD361" s="65"/>
      <c r="AE361" s="89" t="s">
        <v>120</v>
      </c>
      <c r="AF361" s="89" t="s">
        <v>121</v>
      </c>
      <c r="AG361" s="89" t="s">
        <v>122</v>
      </c>
      <c r="AH361" s="65"/>
      <c r="AI361" s="89" t="s">
        <v>120</v>
      </c>
      <c r="AJ361" s="89" t="s">
        <v>121</v>
      </c>
      <c r="AK361" s="89" t="s">
        <v>122</v>
      </c>
      <c r="AL361" s="90"/>
      <c r="AM361" s="89" t="s">
        <v>120</v>
      </c>
      <c r="AN361" s="89" t="s">
        <v>121</v>
      </c>
      <c r="AO361" s="89" t="s">
        <v>122</v>
      </c>
      <c r="AP361" s="90" t="s">
        <v>123</v>
      </c>
      <c r="AQ361" s="65"/>
      <c r="AR361" s="65"/>
      <c r="AS361" s="65"/>
      <c r="AT361" s="89" t="s">
        <v>120</v>
      </c>
      <c r="AU361" s="89" t="s">
        <v>121</v>
      </c>
      <c r="AV361" s="89" t="s">
        <v>122</v>
      </c>
      <c r="AW361" s="65"/>
      <c r="AX361" s="89" t="s">
        <v>120</v>
      </c>
      <c r="AY361" s="89" t="s">
        <v>121</v>
      </c>
      <c r="AZ361" s="89" t="s">
        <v>122</v>
      </c>
      <c r="BA361" s="89" t="s">
        <v>354</v>
      </c>
      <c r="BB361" s="65"/>
      <c r="BC361" s="89" t="s">
        <v>120</v>
      </c>
      <c r="BD361" s="89" t="s">
        <v>121</v>
      </c>
      <c r="BE361" s="89" t="s">
        <v>122</v>
      </c>
      <c r="BF361" s="65"/>
      <c r="BG361" s="89" t="s">
        <v>120</v>
      </c>
      <c r="BH361" s="89" t="s">
        <v>121</v>
      </c>
      <c r="BI361" s="89" t="s">
        <v>122</v>
      </c>
      <c r="BJ361" s="89" t="s">
        <v>354</v>
      </c>
      <c r="BK361" s="65"/>
      <c r="BL361" s="65"/>
      <c r="BM361" s="65"/>
    </row>
    <row r="362" spans="2:65" outlineLevel="1" x14ac:dyDescent="0.25">
      <c r="B362" s="201"/>
      <c r="C362" s="91"/>
      <c r="D362" s="418" t="s">
        <v>1029</v>
      </c>
      <c r="E362" s="419"/>
      <c r="F362" s="94">
        <v>1</v>
      </c>
      <c r="G362" s="136">
        <f>IF(ISNUMBER(VLOOKUP(LEFT(D362,3),'Material editor'!$D$11:$H$110,'Material editor'!$E$8,0)),VLOOKUP(LEFT(D362,3),'Material editor'!$D$11:$H$110,'Material editor'!$E$8,0),"")</f>
        <v>0.25</v>
      </c>
      <c r="H362" s="137">
        <f>IF(ISNUMBER(VLOOKUP(LEFT(D362,3),'Material editor'!$D$11:$H$110,'Material editor'!$F$8,0)),VLOOKUP(LEFT(D362,3),'Material editor'!$D$11:$H$110,'Material editor'!$F$8,0),"")</f>
        <v>1070.8637995403842</v>
      </c>
      <c r="I362" s="137">
        <f>IF(ISNUMBER(VLOOKUP(LEFT(D362,3),'Material editor'!$D$11:$H$110,'Material editor'!$G$8,0)),VLOOKUP(LEFT(D362,3),'Material editor'!$D$11:$H$110,'Material editor'!$G$8,0),"")</f>
        <v>138.92307717733519</v>
      </c>
      <c r="J362" s="137">
        <f>IF(ISNUMBER(VLOOKUP(LEFT(D362,3),'Material editor'!$D$11:$H$110,'Material editor'!$H$8,0)),VLOOKUP(LEFT(D362,3),'Material editor'!$D$11:$H$110,'Material editor'!$H$8,0),"")</f>
        <v>40</v>
      </c>
      <c r="K362" s="422"/>
      <c r="L362" s="419"/>
      <c r="M362" s="94"/>
      <c r="N362" s="136" t="str">
        <f>IF(ISNUMBER(VLOOKUP(LEFT(K362,3),'Material editor'!$D$11:$H$110,'Material editor'!$E$8,0)),VLOOKUP(LEFT(K362,3),'Material editor'!$D$11:$H$110,'Material editor'!$E$8,0),"")</f>
        <v/>
      </c>
      <c r="O362" s="137" t="str">
        <f>IF(ISNUMBER(VLOOKUP(LEFT(K362,3),'Material editor'!$D$11:$H$110,'Material editor'!$F$8,0)),VLOOKUP(LEFT(K362,3),'Material editor'!$D$11:$H$110,'Material editor'!$F$8,0),"")</f>
        <v/>
      </c>
      <c r="P362" s="137" t="str">
        <f>IF(ISNUMBER(VLOOKUP(LEFT(K362,3),'Material editor'!$D$11:$H$110,'Material editor'!$G$8,0)),VLOOKUP(LEFT(K362,3),'Material editor'!$D$11:$H$110,'Material editor'!$G$8,0),"")</f>
        <v/>
      </c>
      <c r="Q362" s="137" t="str">
        <f>IF(ISNUMBER(VLOOKUP(LEFT(K362,3),'Material editor'!$D$11:$H$110,'Material editor'!$H$8,0)),VLOOKUP(LEFT(K362,3),'Material editor'!$D$11:$H$110,'Material editor'!$H$8,0),"")</f>
        <v/>
      </c>
      <c r="R362" s="418"/>
      <c r="S362" s="407"/>
      <c r="T362" s="94"/>
      <c r="U362" s="136" t="str">
        <f>IF(ISNUMBER(VLOOKUP(LEFT(R362,3),'Material editor'!$D$11:$H$110,'Material editor'!$E$8,0)),VLOOKUP(LEFT(R362,3),'Material editor'!$D$11:$H$110,'Material editor'!$E$8,0),"")</f>
        <v/>
      </c>
      <c r="V362" s="137" t="str">
        <f>IF(ISNUMBER(VLOOKUP(LEFT(R362,3),'Material editor'!$D$11:$H$110,'Material editor'!$F$8,0)),VLOOKUP(LEFT(R362,3),'Material editor'!$D$11:$H$110,'Material editor'!$F$8,0),"")</f>
        <v/>
      </c>
      <c r="W362" s="137" t="str">
        <f>IF(ISNUMBER(VLOOKUP(LEFT(R362,3),'Material editor'!$D$11:$H$110,'Material editor'!$G$8,0)),VLOOKUP(LEFT(R362,3),'Material editor'!$D$11:$H$110,'Material editor'!$G$8,0),"")</f>
        <v/>
      </c>
      <c r="X362" s="137" t="str">
        <f>IF(ISNUMBER(VLOOKUP(LEFT(R362,3),'Material editor'!$D$11:$H$110,'Material editor'!$H$8,0)),VLOOKUP(LEFT(R362,3),'Material editor'!$D$11:$H$110,'Material editor'!$H$8,0),"")</f>
        <v/>
      </c>
      <c r="Y362" s="74"/>
      <c r="Z362" s="94">
        <v>10</v>
      </c>
      <c r="AA362" s="8"/>
      <c r="AB362" s="61"/>
      <c r="AC362" s="65"/>
      <c r="AD362" s="65"/>
      <c r="AE362" s="95">
        <f t="shared" ref="AE362:AE369" si="260">IF(ISNUMBER(G362),IF(G362&gt;0,$Z362/1000/G362,0),0)</f>
        <v>0.04</v>
      </c>
      <c r="AF362" s="95">
        <f t="shared" ref="AF362:AF369" si="261">IF(ISNUMBER(N362),IF(N362&gt;0,$Z362/1000/N362,0),$AE362)</f>
        <v>0.04</v>
      </c>
      <c r="AG362" s="95">
        <f t="shared" ref="AG362:AG369" si="262">IF(ISNUMBER(U362),IF(U362&gt;0,$Z362/1000/U362,0),$AE362)</f>
        <v>0.04</v>
      </c>
      <c r="AH362" s="65"/>
      <c r="AI362" s="95">
        <f t="shared" ref="AI362:AI368" si="263">IF(ISNUMBER(G362),G362,0)</f>
        <v>0.25</v>
      </c>
      <c r="AJ362" s="95">
        <f t="shared" ref="AJ362:AJ369" si="264">IF(ISNUMBER(N362),IF(N362&gt;0,N362,0),$AI362)</f>
        <v>0.25</v>
      </c>
      <c r="AK362" s="95">
        <f t="shared" ref="AK362:AK369" si="265">IF(ISNUMBER(U362),IF(U362&gt;0,U362,0),$AI362)</f>
        <v>0.25</v>
      </c>
      <c r="AL362" s="65"/>
      <c r="AM362" s="96">
        <f>AE371</f>
        <v>0.90400000000000003</v>
      </c>
      <c r="AN362" s="96">
        <f>AF371</f>
        <v>9.6000000000000002E-2</v>
      </c>
      <c r="AO362" s="96">
        <f>AG371</f>
        <v>0</v>
      </c>
      <c r="AP362" s="65">
        <f t="shared" ref="AP362:AP369" si="266">IF(AI362&lt;&gt;0,Z362/1000/SUMPRODUCT(AM362:AO362,AI362:AK362),0)</f>
        <v>0.04</v>
      </c>
      <c r="AQ362" s="65"/>
      <c r="AR362" s="65"/>
      <c r="AS362" s="65"/>
      <c r="AT362" s="95">
        <f>IF(ISNUMBER(H362),H362*F362*Z362/1000*Balance!$H$13/J362,0)</f>
        <v>5.3543189977019212</v>
      </c>
      <c r="AU362" s="95">
        <f>IF(ISTEXT(K362),IF(ISNUMBER(O362),O362*M362*Z362/1000*Balance!$H$13/Q362,0),AT362)</f>
        <v>5.3543189977019212</v>
      </c>
      <c r="AV362" s="95">
        <f>IF(ISTEXT(R362),IF(ISNUMBER(V362),V362*T362*Z362/1000*Balance!$H$13/X362,0),AT362)</f>
        <v>5.3543189977019212</v>
      </c>
      <c r="AW362" s="99"/>
      <c r="AX362" s="95">
        <f>AT362*AX360</f>
        <v>4.8403043739225371</v>
      </c>
      <c r="AY362" s="95">
        <f>AU362*AY360</f>
        <v>0.51401462377938445</v>
      </c>
      <c r="AZ362" s="95">
        <f>AV362*AZ360</f>
        <v>0</v>
      </c>
      <c r="BA362" s="95">
        <f>SUM(AX362:AZ362)</f>
        <v>5.3543189977019212</v>
      </c>
      <c r="BB362" s="65"/>
      <c r="BC362" s="95">
        <f>IF(ISNUMBER(I362),I362*F362*Z362/1000*Balance!$H$13/J362,0)</f>
        <v>0.69461538588667604</v>
      </c>
      <c r="BD362" s="95">
        <f>IF(ISTEXT(K362),IF(ISNUMBER(P362),P362*M362*Z362/1000*Balance!$H$13/Q362,0),BC362)</f>
        <v>0.69461538588667604</v>
      </c>
      <c r="BE362" s="95">
        <f>IF(ISTEXT(R362),IF(ISNUMBER(W362),W362*T362*Z362/1000*Balance!$H$13/X362,0),BC362)</f>
        <v>0.69461538588667604</v>
      </c>
      <c r="BF362" s="99"/>
      <c r="BG362" s="95">
        <f>BC362*BG360</f>
        <v>0.62793230884155515</v>
      </c>
      <c r="BH362" s="95">
        <f>BD362*BH360</f>
        <v>6.66830770451209E-2</v>
      </c>
      <c r="BI362" s="95">
        <f>BE362*BI360</f>
        <v>0</v>
      </c>
      <c r="BJ362" s="95">
        <f>SUM(BG362:BI362)</f>
        <v>0.69461538588667604</v>
      </c>
      <c r="BK362" s="65"/>
      <c r="BL362" s="65"/>
      <c r="BM362" s="65"/>
    </row>
    <row r="363" spans="2:65" outlineLevel="1" x14ac:dyDescent="0.25">
      <c r="B363" s="201"/>
      <c r="C363" s="91"/>
      <c r="D363" s="418" t="s">
        <v>1030</v>
      </c>
      <c r="E363" s="419"/>
      <c r="F363" s="94">
        <v>1</v>
      </c>
      <c r="G363" s="136">
        <f>IF(ISNUMBER(VLOOKUP(LEFT(D363,3),'Material editor'!$D$11:$H$110,'Material editor'!$E$8,0)),VLOOKUP(LEFT(D363,3),'Material editor'!$D$11:$H$110,'Material editor'!$E$8,0),"")</f>
        <v>0.13</v>
      </c>
      <c r="H363" s="137">
        <f>IF(ISNUMBER(VLOOKUP(LEFT(D363,3),'Material editor'!$D$11:$H$110,'Material editor'!$F$8,0)),VLOOKUP(LEFT(D363,3),'Material editor'!$D$11:$H$110,'Material editor'!$F$8,0),"")</f>
        <v>3027.3954833451362</v>
      </c>
      <c r="I363" s="137">
        <f>IF(ISNUMBER(VLOOKUP(LEFT(D363,3),'Material editor'!$D$11:$H$110,'Material editor'!$G$8,0)),VLOOKUP(LEFT(D363,3),'Material editor'!$D$11:$H$110,'Material editor'!$G$8,0),"")</f>
        <v>-608.78646748019798</v>
      </c>
      <c r="J363" s="137">
        <f>IF(ISNUMBER(VLOOKUP(LEFT(D363,3),'Material editor'!$D$11:$H$110,'Material editor'!$H$8,0)),VLOOKUP(LEFT(D363,3),'Material editor'!$D$11:$H$110,'Material editor'!$H$8,0),"")</f>
        <v>80</v>
      </c>
      <c r="K363" s="422"/>
      <c r="L363" s="419"/>
      <c r="M363" s="94"/>
      <c r="N363" s="136" t="str">
        <f>IF(ISNUMBER(VLOOKUP(LEFT(K363,3),'Material editor'!$D$11:$H$110,'Material editor'!$E$8,0)),VLOOKUP(LEFT(K363,3),'Material editor'!$D$11:$H$110,'Material editor'!$E$8,0),"")</f>
        <v/>
      </c>
      <c r="O363" s="137" t="str">
        <f>IF(ISNUMBER(VLOOKUP(LEFT(K363,3),'Material editor'!$D$11:$H$110,'Material editor'!$F$8,0)),VLOOKUP(LEFT(K363,3),'Material editor'!$D$11:$H$110,'Material editor'!$F$8,0),"")</f>
        <v/>
      </c>
      <c r="P363" s="137" t="str">
        <f>IF(ISNUMBER(VLOOKUP(LEFT(K363,3),'Material editor'!$D$11:$H$110,'Material editor'!$G$8,0)),VLOOKUP(LEFT(K363,3),'Material editor'!$D$11:$H$110,'Material editor'!$G$8,0),"")</f>
        <v/>
      </c>
      <c r="Q363" s="137" t="str">
        <f>IF(ISNUMBER(VLOOKUP(LEFT(K363,3),'Material editor'!$D$11:$H$110,'Material editor'!$H$8,0)),VLOOKUP(LEFT(K363,3),'Material editor'!$D$11:$H$110,'Material editor'!$H$8,0),"")</f>
        <v/>
      </c>
      <c r="R363" s="418"/>
      <c r="S363" s="407"/>
      <c r="T363" s="94"/>
      <c r="U363" s="136" t="str">
        <f>IF(ISNUMBER(VLOOKUP(LEFT(R363,3),'Material editor'!$D$11:$H$110,'Material editor'!$E$8,0)),VLOOKUP(LEFT(R363,3),'Material editor'!$D$11:$H$110,'Material editor'!$E$8,0),"")</f>
        <v/>
      </c>
      <c r="V363" s="137" t="str">
        <f>IF(ISNUMBER(VLOOKUP(LEFT(R363,3),'Material editor'!$D$11:$H$110,'Material editor'!$F$8,0)),VLOOKUP(LEFT(R363,3),'Material editor'!$D$11:$H$110,'Material editor'!$F$8,0),"")</f>
        <v/>
      </c>
      <c r="W363" s="137" t="str">
        <f>IF(ISNUMBER(VLOOKUP(LEFT(R363,3),'Material editor'!$D$11:$H$110,'Material editor'!$G$8,0)),VLOOKUP(LEFT(R363,3),'Material editor'!$D$11:$H$110,'Material editor'!$G$8,0),"")</f>
        <v/>
      </c>
      <c r="X363" s="137" t="str">
        <f>IF(ISNUMBER(VLOOKUP(LEFT(R363,3),'Material editor'!$D$11:$H$110,'Material editor'!$H$8,0)),VLOOKUP(LEFT(R363,3),'Material editor'!$D$11:$H$110,'Material editor'!$H$8,0),"")</f>
        <v/>
      </c>
      <c r="Y363" s="74"/>
      <c r="Z363" s="94">
        <v>15</v>
      </c>
      <c r="AA363" s="8"/>
      <c r="AB363" s="61"/>
      <c r="AC363" s="65"/>
      <c r="AD363" s="65"/>
      <c r="AE363" s="95">
        <f t="shared" si="260"/>
        <v>0.11538461538461538</v>
      </c>
      <c r="AF363" s="95">
        <f t="shared" si="261"/>
        <v>0.11538461538461538</v>
      </c>
      <c r="AG363" s="95">
        <f t="shared" si="262"/>
        <v>0.11538461538461538</v>
      </c>
      <c r="AH363" s="65"/>
      <c r="AI363" s="95">
        <f t="shared" si="263"/>
        <v>0.13</v>
      </c>
      <c r="AJ363" s="95">
        <f t="shared" si="264"/>
        <v>0.13</v>
      </c>
      <c r="AK363" s="95">
        <f t="shared" si="265"/>
        <v>0.13</v>
      </c>
      <c r="AL363" s="65"/>
      <c r="AM363" s="96">
        <f t="shared" ref="AM363:AO363" si="267">AM362</f>
        <v>0.90400000000000003</v>
      </c>
      <c r="AN363" s="96">
        <f t="shared" si="267"/>
        <v>9.6000000000000002E-2</v>
      </c>
      <c r="AO363" s="96">
        <f t="shared" si="267"/>
        <v>0</v>
      </c>
      <c r="AP363" s="65">
        <f t="shared" si="266"/>
        <v>0.11538461538461538</v>
      </c>
      <c r="AQ363" s="65"/>
      <c r="AR363" s="65"/>
      <c r="AS363" s="65"/>
      <c r="AT363" s="95">
        <f>IF(ISNUMBER(H363),H363*F363*Z363/1000*Balance!$H$13/J363,0)</f>
        <v>11.35273306254426</v>
      </c>
      <c r="AU363" s="95">
        <f>IF(ISTEXT(K363),IF(ISNUMBER(O363),O363*M363*Z363/1000*Balance!$H$13/Q363,0),AT363)</f>
        <v>11.35273306254426</v>
      </c>
      <c r="AV363" s="95">
        <f>IF(ISTEXT(R363),IF(ISNUMBER(V363),V363*T363*Z363/1000*Balance!$H$13/X363,0),AT363)</f>
        <v>11.35273306254426</v>
      </c>
      <c r="AW363" s="65"/>
      <c r="AX363" s="95">
        <f>AT363*AX360</f>
        <v>10.262870688540012</v>
      </c>
      <c r="AY363" s="95">
        <f>AU363*AY360</f>
        <v>1.089862374004249</v>
      </c>
      <c r="AZ363" s="95">
        <f>AV363*AZ360</f>
        <v>0</v>
      </c>
      <c r="BA363" s="95">
        <f t="shared" ref="BA363:BA369" si="268">SUM(AX363:AZ363)</f>
        <v>11.35273306254426</v>
      </c>
      <c r="BB363" s="65"/>
      <c r="BC363" s="95">
        <f>IF(ISNUMBER(I363),I363*F363*Z363/1000*Balance!$H$13/J363,0)</f>
        <v>-2.2829492530507425</v>
      </c>
      <c r="BD363" s="95">
        <f>IF(ISTEXT(K363),IF(ISNUMBER(P363),P363*M363*Z363/1000*Balance!$H$13/Q363,0),BC363)</f>
        <v>-2.2829492530507425</v>
      </c>
      <c r="BE363" s="95">
        <f>IF(ISTEXT(R363),IF(ISNUMBER(W363),W363*T363*Z363/1000*Balance!$H$13/X363,0),BC363)</f>
        <v>-2.2829492530507425</v>
      </c>
      <c r="BF363" s="65"/>
      <c r="BG363" s="95">
        <f>BC363*BG360</f>
        <v>-2.063786124757871</v>
      </c>
      <c r="BH363" s="95">
        <f>BD363*BH360</f>
        <v>-0.2191631282928713</v>
      </c>
      <c r="BI363" s="95">
        <f>BE363*BI360</f>
        <v>0</v>
      </c>
      <c r="BJ363" s="95">
        <f t="shared" ref="BJ363:BJ369" si="269">SUM(BG363:BI363)</f>
        <v>-2.2829492530507425</v>
      </c>
      <c r="BK363" s="65"/>
      <c r="BL363" s="65"/>
      <c r="BM363" s="65"/>
    </row>
    <row r="364" spans="2:65" outlineLevel="1" x14ac:dyDescent="0.25">
      <c r="B364" s="201"/>
      <c r="C364" s="91"/>
      <c r="D364" s="418" t="s">
        <v>1015</v>
      </c>
      <c r="E364" s="407"/>
      <c r="F364" s="94">
        <v>1</v>
      </c>
      <c r="G364" s="136">
        <f>IF(ISNUMBER(VLOOKUP(LEFT(D364,3),'Material editor'!$D$11:$H$110,'Material editor'!$E$8,0)),VLOOKUP(LEFT(D364,3),'Material editor'!$D$11:$H$110,'Material editor'!$E$8,0),"")</f>
        <v>4.9000000000000002E-2</v>
      </c>
      <c r="H364" s="137">
        <f>IF(ISNUMBER(VLOOKUP(LEFT(D364,3),'Material editor'!$D$11:$H$110,'Material editor'!$F$8,0)),VLOOKUP(LEFT(D364,3),'Material editor'!$D$11:$H$110,'Material editor'!$F$8,0),"")</f>
        <v>20.333333333333332</v>
      </c>
      <c r="I364" s="137">
        <f>IF(ISNUMBER(VLOOKUP(LEFT(D364,3),'Material editor'!$D$11:$H$110,'Material editor'!$G$8,0)),VLOOKUP(LEFT(D364,3),'Material editor'!$D$11:$H$110,'Material editor'!$G$8,0),"")</f>
        <v>-127</v>
      </c>
      <c r="J364" s="137">
        <f>IF(ISNUMBER(VLOOKUP(LEFT(D364,3),'Material editor'!$D$11:$H$110,'Material editor'!$H$8,0)),VLOOKUP(LEFT(D364,3),'Material editor'!$D$11:$H$110,'Material editor'!$H$8,0),"")</f>
        <v>40</v>
      </c>
      <c r="K364" s="422" t="s">
        <v>1035</v>
      </c>
      <c r="L364" s="419"/>
      <c r="M364" s="94">
        <v>1</v>
      </c>
      <c r="N364" s="136">
        <f>IF(ISNUMBER(VLOOKUP(LEFT(K364,3),'Material editor'!$D$11:$H$110,'Material editor'!$E$8,0)),VLOOKUP(LEFT(K364,3),'Material editor'!$D$11:$H$110,'Material editor'!$E$8,0),"")</f>
        <v>0.13</v>
      </c>
      <c r="O364" s="137">
        <f>IF(ISNUMBER(VLOOKUP(LEFT(K364,3),'Material editor'!$D$11:$H$110,'Material editor'!$F$8,0)),VLOOKUP(LEFT(K364,3),'Material editor'!$D$11:$H$110,'Material editor'!$F$8,0),"")</f>
        <v>1434.0932694222695</v>
      </c>
      <c r="P364" s="137">
        <f>IF(ISNUMBER(VLOOKUP(LEFT(K364,3),'Material editor'!$D$11:$H$110,'Material editor'!$G$8,0)),VLOOKUP(LEFT(K364,3),'Material editor'!$D$11:$H$110,'Material editor'!$G$8,0),"")</f>
        <v>-636.14449532812898</v>
      </c>
      <c r="Q364" s="137">
        <f>IF(ISNUMBER(VLOOKUP(LEFT(K364,3),'Material editor'!$D$11:$H$110,'Material editor'!$H$8,0)),VLOOKUP(LEFT(K364,3),'Material editor'!$D$11:$H$110,'Material editor'!$H$8,0),"")</f>
        <v>80</v>
      </c>
      <c r="R364" s="418"/>
      <c r="S364" s="407"/>
      <c r="T364" s="94"/>
      <c r="U364" s="136" t="str">
        <f>IF(ISNUMBER(VLOOKUP(LEFT(R364,3),'Material editor'!$D$11:$H$110,'Material editor'!$E$8,0)),VLOOKUP(LEFT(R364,3),'Material editor'!$D$11:$H$110,'Material editor'!$E$8,0),"")</f>
        <v/>
      </c>
      <c r="V364" s="137" t="str">
        <f>IF(ISNUMBER(VLOOKUP(LEFT(R364,3),'Material editor'!$D$11:$H$110,'Material editor'!$F$8,0)),VLOOKUP(LEFT(R364,3),'Material editor'!$D$11:$H$110,'Material editor'!$F$8,0),"")</f>
        <v/>
      </c>
      <c r="W364" s="137" t="str">
        <f>IF(ISNUMBER(VLOOKUP(LEFT(R364,3),'Material editor'!$D$11:$H$110,'Material editor'!$G$8,0)),VLOOKUP(LEFT(R364,3),'Material editor'!$D$11:$H$110,'Material editor'!$G$8,0),"")</f>
        <v/>
      </c>
      <c r="X364" s="137" t="str">
        <f>IF(ISNUMBER(VLOOKUP(LEFT(R364,3),'Material editor'!$D$11:$H$110,'Material editor'!$H$8,0)),VLOOKUP(LEFT(R364,3),'Material editor'!$D$11:$H$110,'Material editor'!$H$8,0),"")</f>
        <v/>
      </c>
      <c r="Y364" s="74"/>
      <c r="Z364" s="94">
        <v>285</v>
      </c>
      <c r="AA364" s="8"/>
      <c r="AB364" s="61"/>
      <c r="AC364" s="65"/>
      <c r="AD364" s="65"/>
      <c r="AE364" s="95">
        <f t="shared" si="260"/>
        <v>5.816326530612244</v>
      </c>
      <c r="AF364" s="95">
        <f t="shared" si="261"/>
        <v>2.1923076923076921</v>
      </c>
      <c r="AG364" s="95">
        <f t="shared" si="262"/>
        <v>5.816326530612244</v>
      </c>
      <c r="AH364" s="65"/>
      <c r="AI364" s="95">
        <f t="shared" si="263"/>
        <v>4.9000000000000002E-2</v>
      </c>
      <c r="AJ364" s="95">
        <f t="shared" si="264"/>
        <v>0.13</v>
      </c>
      <c r="AK364" s="95">
        <f t="shared" si="265"/>
        <v>4.9000000000000002E-2</v>
      </c>
      <c r="AL364" s="65"/>
      <c r="AM364" s="96">
        <f t="shared" ref="AM364:AO364" si="270">AM363</f>
        <v>0.90400000000000003</v>
      </c>
      <c r="AN364" s="96">
        <f t="shared" si="270"/>
        <v>9.6000000000000002E-2</v>
      </c>
      <c r="AO364" s="96">
        <f t="shared" si="270"/>
        <v>0</v>
      </c>
      <c r="AP364" s="65">
        <f t="shared" si="266"/>
        <v>5.0197266450612927</v>
      </c>
      <c r="AQ364" s="65"/>
      <c r="AR364" s="65"/>
      <c r="AS364" s="65"/>
      <c r="AT364" s="95">
        <f>IF(ISNUMBER(H364),H364*F364*Z364/1000*Balance!$H$13/J364,0)</f>
        <v>2.8975</v>
      </c>
      <c r="AU364" s="95">
        <f>IF(ISTEXT(K364),IF(ISNUMBER(O364),O364*M364*Z364/1000*Balance!$H$13/Q364,0),AT364)</f>
        <v>102.17914544633669</v>
      </c>
      <c r="AV364" s="95">
        <f>IF(ISTEXT(R364),IF(ISNUMBER(V364),V364*T364*Z364/1000*Balance!$H$13/X364,0),AT364)</f>
        <v>2.8975</v>
      </c>
      <c r="AW364" s="65"/>
      <c r="AX364" s="95">
        <f>AT364*AX360</f>
        <v>2.6193400000000002</v>
      </c>
      <c r="AY364" s="95">
        <f>AU364*AY360</f>
        <v>9.809197962848323</v>
      </c>
      <c r="AZ364" s="95">
        <f>AV364*AZ360</f>
        <v>0</v>
      </c>
      <c r="BA364" s="95">
        <f t="shared" si="268"/>
        <v>12.428537962848324</v>
      </c>
      <c r="BB364" s="65"/>
      <c r="BC364" s="95">
        <f>IF(ISNUMBER(I364),I364*F364*Z364/1000*Balance!$H$13/J364,0)</f>
        <v>-18.0975</v>
      </c>
      <c r="BD364" s="95">
        <f>IF(ISTEXT(K364),IF(ISNUMBER(P364),P364*M364*Z364/1000*Balance!$H$13/Q364,0),BC364)</f>
        <v>-45.325295292129184</v>
      </c>
      <c r="BE364" s="95">
        <f>IF(ISTEXT(R364),IF(ISNUMBER(W364),W364*T364*Z364/1000*Balance!$H$13/X364,0),BC364)</f>
        <v>-18.0975</v>
      </c>
      <c r="BF364" s="65"/>
      <c r="BG364" s="95">
        <f>BC364*BG360</f>
        <v>-16.360140000000001</v>
      </c>
      <c r="BH364" s="95">
        <f>BD364*BH360</f>
        <v>-4.3512283480444021</v>
      </c>
      <c r="BI364" s="95">
        <f>BE364*BI360</f>
        <v>0</v>
      </c>
      <c r="BJ364" s="95">
        <f t="shared" si="269"/>
        <v>-20.711368348044402</v>
      </c>
      <c r="BK364" s="65"/>
      <c r="BL364" s="65"/>
      <c r="BM364" s="65"/>
    </row>
    <row r="365" spans="2:65" outlineLevel="1" x14ac:dyDescent="0.25">
      <c r="B365" s="201"/>
      <c r="C365" s="91"/>
      <c r="D365" s="418" t="s">
        <v>1028</v>
      </c>
      <c r="E365" s="407"/>
      <c r="F365" s="94">
        <v>1</v>
      </c>
      <c r="G365" s="136">
        <f>IF(ISNUMBER(VLOOKUP(LEFT(D365,3),'Material editor'!$D$11:$H$110,'Material editor'!$E$8,0)),VLOOKUP(LEFT(D365,3),'Material editor'!$D$11:$H$110,'Material editor'!$E$8,0),"")</f>
        <v>4.4999999999999998E-2</v>
      </c>
      <c r="H365" s="137">
        <f>IF(ISNUMBER(VLOOKUP(LEFT(D365,3),'Material editor'!$D$11:$H$110,'Material editor'!$F$8,0)),VLOOKUP(LEFT(D365,3),'Material editor'!$D$11:$H$110,'Material editor'!$F$8,0),"")</f>
        <v>700.38883783406686</v>
      </c>
      <c r="I365" s="137">
        <f>IF(ISNUMBER(VLOOKUP(LEFT(D365,3),'Material editor'!$D$11:$H$110,'Material editor'!$G$8,0)),VLOOKUP(LEFT(D365,3),'Material editor'!$D$11:$H$110,'Material editor'!$G$8,0),"")</f>
        <v>-153.896768984163</v>
      </c>
      <c r="J365" s="137">
        <f>IF(ISNUMBER(VLOOKUP(LEFT(D365,3),'Material editor'!$D$11:$H$110,'Material editor'!$H$8,0)),VLOOKUP(LEFT(D365,3),'Material editor'!$D$11:$H$110,'Material editor'!$H$8,0),"")</f>
        <v>40</v>
      </c>
      <c r="K365" s="422"/>
      <c r="L365" s="419"/>
      <c r="M365" s="94"/>
      <c r="N365" s="136" t="str">
        <f>IF(ISNUMBER(VLOOKUP(LEFT(K365,3),'Material editor'!$D$11:$H$110,'Material editor'!$E$8,0)),VLOOKUP(LEFT(K365,3),'Material editor'!$D$11:$H$110,'Material editor'!$E$8,0),"")</f>
        <v/>
      </c>
      <c r="O365" s="137" t="str">
        <f>IF(ISNUMBER(VLOOKUP(LEFT(K365,3),'Material editor'!$D$11:$H$110,'Material editor'!$F$8,0)),VLOOKUP(LEFT(K365,3),'Material editor'!$D$11:$H$110,'Material editor'!$F$8,0),"")</f>
        <v/>
      </c>
      <c r="P365" s="137" t="str">
        <f>IF(ISNUMBER(VLOOKUP(LEFT(K365,3),'Material editor'!$D$11:$H$110,'Material editor'!$G$8,0)),VLOOKUP(LEFT(K365,3),'Material editor'!$D$11:$H$110,'Material editor'!$G$8,0),"")</f>
        <v/>
      </c>
      <c r="Q365" s="137" t="str">
        <f>IF(ISNUMBER(VLOOKUP(LEFT(K365,3),'Material editor'!$D$11:$H$110,'Material editor'!$H$8,0)),VLOOKUP(LEFT(K365,3),'Material editor'!$D$11:$H$110,'Material editor'!$H$8,0),"")</f>
        <v/>
      </c>
      <c r="R365" s="418"/>
      <c r="S365" s="407"/>
      <c r="T365" s="94"/>
      <c r="U365" s="136" t="str">
        <f>IF(ISNUMBER(VLOOKUP(LEFT(R365,3),'Material editor'!$D$11:$H$110,'Material editor'!$E$8,0)),VLOOKUP(LEFT(R365,3),'Material editor'!$D$11:$H$110,'Material editor'!$E$8,0),"")</f>
        <v/>
      </c>
      <c r="V365" s="137" t="str">
        <f>IF(ISNUMBER(VLOOKUP(LEFT(R365,3),'Material editor'!$D$11:$H$110,'Material editor'!$F$8,0)),VLOOKUP(LEFT(R365,3),'Material editor'!$D$11:$H$110,'Material editor'!$F$8,0),"")</f>
        <v/>
      </c>
      <c r="W365" s="137" t="str">
        <f>IF(ISNUMBER(VLOOKUP(LEFT(R365,3),'Material editor'!$D$11:$H$110,'Material editor'!$G$8,0)),VLOOKUP(LEFT(R365,3),'Material editor'!$D$11:$H$110,'Material editor'!$G$8,0),"")</f>
        <v/>
      </c>
      <c r="X365" s="137" t="str">
        <f>IF(ISNUMBER(VLOOKUP(LEFT(R365,3),'Material editor'!$D$11:$H$110,'Material editor'!$H$8,0)),VLOOKUP(LEFT(R365,3),'Material editor'!$D$11:$H$110,'Material editor'!$H$8,0),"")</f>
        <v/>
      </c>
      <c r="Y365" s="74"/>
      <c r="Z365" s="94">
        <v>60</v>
      </c>
      <c r="AA365" s="8"/>
      <c r="AB365" s="61"/>
      <c r="AC365" s="65"/>
      <c r="AD365" s="65"/>
      <c r="AE365" s="95">
        <f t="shared" si="260"/>
        <v>1.3333333333333333</v>
      </c>
      <c r="AF365" s="95">
        <f t="shared" si="261"/>
        <v>1.3333333333333333</v>
      </c>
      <c r="AG365" s="95">
        <f t="shared" si="262"/>
        <v>1.3333333333333333</v>
      </c>
      <c r="AH365" s="65"/>
      <c r="AI365" s="95">
        <f t="shared" si="263"/>
        <v>4.4999999999999998E-2</v>
      </c>
      <c r="AJ365" s="95">
        <f t="shared" si="264"/>
        <v>4.4999999999999998E-2</v>
      </c>
      <c r="AK365" s="95">
        <f t="shared" si="265"/>
        <v>4.4999999999999998E-2</v>
      </c>
      <c r="AL365" s="65"/>
      <c r="AM365" s="96">
        <f t="shared" ref="AM365:AO365" si="271">AM364</f>
        <v>0.90400000000000003</v>
      </c>
      <c r="AN365" s="96">
        <f t="shared" si="271"/>
        <v>9.6000000000000002E-2</v>
      </c>
      <c r="AO365" s="96">
        <f t="shared" si="271"/>
        <v>0</v>
      </c>
      <c r="AP365" s="65">
        <f t="shared" si="266"/>
        <v>1.3333333333333333</v>
      </c>
      <c r="AQ365" s="65"/>
      <c r="AR365" s="65"/>
      <c r="AS365" s="65"/>
      <c r="AT365" s="95">
        <f>IF(ISNUMBER(H365),H365*F365*Z365/1000*Balance!$H$13/J365,0)</f>
        <v>21.011665135022007</v>
      </c>
      <c r="AU365" s="95">
        <f>IF(ISTEXT(K365),IF(ISNUMBER(O365),O365*M365*Z365/1000*Balance!$H$13/Q365,0),AT365)</f>
        <v>21.011665135022007</v>
      </c>
      <c r="AV365" s="95">
        <f>IF(ISTEXT(R365),IF(ISNUMBER(V365),V365*T365*Z365/1000*Balance!$H$13/X365,0),AT365)</f>
        <v>21.011665135022007</v>
      </c>
      <c r="AW365" s="65"/>
      <c r="AX365" s="95">
        <f>AT365*AX360</f>
        <v>18.994545282059896</v>
      </c>
      <c r="AY365" s="95">
        <f>AU365*AY360</f>
        <v>2.0171198529621126</v>
      </c>
      <c r="AZ365" s="95">
        <f>AV365*AZ360</f>
        <v>0</v>
      </c>
      <c r="BA365" s="95">
        <f t="shared" si="268"/>
        <v>21.011665135022007</v>
      </c>
      <c r="BB365" s="65"/>
      <c r="BC365" s="95">
        <f>IF(ISNUMBER(I365),I365*F365*Z365/1000*Balance!$H$13/J365,0)</f>
        <v>-4.6169030695248905</v>
      </c>
      <c r="BD365" s="95">
        <f>IF(ISTEXT(K365),IF(ISNUMBER(P365),P365*M365*Z365/1000*Balance!$H$13/Q365,0),BC365)</f>
        <v>-4.6169030695248905</v>
      </c>
      <c r="BE365" s="95">
        <f>IF(ISTEXT(R365),IF(ISNUMBER(W365),W365*T365*Z365/1000*Balance!$H$13/X365,0),BC365)</f>
        <v>-4.6169030695248905</v>
      </c>
      <c r="BF365" s="65"/>
      <c r="BG365" s="95">
        <f>BC365*BG360</f>
        <v>-4.1736803748505009</v>
      </c>
      <c r="BH365" s="95">
        <f>BD365*BH360</f>
        <v>-0.44322269467438952</v>
      </c>
      <c r="BI365" s="95">
        <f>BE365*BI360</f>
        <v>0</v>
      </c>
      <c r="BJ365" s="95">
        <f t="shared" si="269"/>
        <v>-4.6169030695248905</v>
      </c>
      <c r="BK365" s="65"/>
      <c r="BL365" s="65"/>
      <c r="BM365" s="65"/>
    </row>
    <row r="366" spans="2:65" outlineLevel="1" x14ac:dyDescent="0.25">
      <c r="B366" s="201"/>
      <c r="C366" s="91"/>
      <c r="D366" s="418" t="s">
        <v>1027</v>
      </c>
      <c r="E366" s="419"/>
      <c r="F366" s="94">
        <v>1</v>
      </c>
      <c r="G366" s="136">
        <f>IF(ISNUMBER(VLOOKUP(LEFT(D366,3),'Material editor'!$D$11:$H$110,'Material editor'!$E$8,0)),VLOOKUP(LEFT(D366,3),'Material editor'!$D$11:$H$110,'Material editor'!$E$8,0),"")</f>
        <v>1</v>
      </c>
      <c r="H366" s="137">
        <f>IF(ISNUMBER(VLOOKUP(LEFT(D366,3),'Material editor'!$D$11:$H$110,'Material editor'!$F$8,0)),VLOOKUP(LEFT(D366,3),'Material editor'!$D$11:$H$110,'Material editor'!$F$8,0),"")</f>
        <v>905.22046069906946</v>
      </c>
      <c r="I366" s="137">
        <f>IF(ISNUMBER(VLOOKUP(LEFT(D366,3),'Material editor'!$D$11:$H$110,'Material editor'!$G$8,0)),VLOOKUP(LEFT(D366,3),'Material editor'!$D$11:$H$110,'Material editor'!$G$8,0),"")</f>
        <v>354.91241395986202</v>
      </c>
      <c r="J366" s="137">
        <f>IF(ISNUMBER(VLOOKUP(LEFT(D366,3),'Material editor'!$D$11:$H$110,'Material editor'!$H$8,0)),VLOOKUP(LEFT(D366,3),'Material editor'!$D$11:$H$110,'Material editor'!$H$8,0),"")</f>
        <v>40</v>
      </c>
      <c r="K366" s="422"/>
      <c r="L366" s="419"/>
      <c r="M366" s="94"/>
      <c r="N366" s="136" t="str">
        <f>IF(ISNUMBER(VLOOKUP(LEFT(K366,3),'Material editor'!$D$11:$H$110,'Material editor'!$E$8,0)),VLOOKUP(LEFT(K366,3),'Material editor'!$D$11:$H$110,'Material editor'!$E$8,0),"")</f>
        <v/>
      </c>
      <c r="O366" s="137" t="str">
        <f>IF(ISNUMBER(VLOOKUP(LEFT(K366,3),'Material editor'!$D$11:$H$110,'Material editor'!$F$8,0)),VLOOKUP(LEFT(K366,3),'Material editor'!$D$11:$H$110,'Material editor'!$F$8,0),"")</f>
        <v/>
      </c>
      <c r="P366" s="137" t="str">
        <f>IF(ISNUMBER(VLOOKUP(LEFT(K366,3),'Material editor'!$D$11:$H$110,'Material editor'!$G$8,0)),VLOOKUP(LEFT(K366,3),'Material editor'!$D$11:$H$110,'Material editor'!$G$8,0),"")</f>
        <v/>
      </c>
      <c r="Q366" s="137" t="str">
        <f>IF(ISNUMBER(VLOOKUP(LEFT(K366,3),'Material editor'!$D$11:$H$110,'Material editor'!$H$8,0)),VLOOKUP(LEFT(K366,3),'Material editor'!$D$11:$H$110,'Material editor'!$H$8,0),"")</f>
        <v/>
      </c>
      <c r="R366" s="418"/>
      <c r="S366" s="407"/>
      <c r="T366" s="94"/>
      <c r="U366" s="136" t="str">
        <f>IF(ISNUMBER(VLOOKUP(LEFT(R366,3),'Material editor'!$D$11:$H$110,'Material editor'!$E$8,0)),VLOOKUP(LEFT(R366,3),'Material editor'!$D$11:$H$110,'Material editor'!$E$8,0),"")</f>
        <v/>
      </c>
      <c r="V366" s="137" t="str">
        <f>IF(ISNUMBER(VLOOKUP(LEFT(R366,3),'Material editor'!$D$11:$H$110,'Material editor'!$F$8,0)),VLOOKUP(LEFT(R366,3),'Material editor'!$D$11:$H$110,'Material editor'!$F$8,0),"")</f>
        <v/>
      </c>
      <c r="W366" s="137" t="str">
        <f>IF(ISNUMBER(VLOOKUP(LEFT(R366,3),'Material editor'!$D$11:$H$110,'Material editor'!$G$8,0)),VLOOKUP(LEFT(R366,3),'Material editor'!$D$11:$H$110,'Material editor'!$G$8,0),"")</f>
        <v/>
      </c>
      <c r="X366" s="137" t="str">
        <f>IF(ISNUMBER(VLOOKUP(LEFT(R366,3),'Material editor'!$D$11:$H$110,'Material editor'!$H$8,0)),VLOOKUP(LEFT(R366,3),'Material editor'!$D$11:$H$110,'Material editor'!$H$8,0),"")</f>
        <v/>
      </c>
      <c r="Y366" s="74"/>
      <c r="Z366" s="94">
        <v>20</v>
      </c>
      <c r="AA366" s="8"/>
      <c r="AB366" s="61"/>
      <c r="AC366" s="65"/>
      <c r="AD366" s="65"/>
      <c r="AE366" s="95">
        <f t="shared" si="260"/>
        <v>0.02</v>
      </c>
      <c r="AF366" s="95">
        <f t="shared" si="261"/>
        <v>0.02</v>
      </c>
      <c r="AG366" s="95">
        <f t="shared" si="262"/>
        <v>0.02</v>
      </c>
      <c r="AH366" s="65"/>
      <c r="AI366" s="95">
        <f t="shared" si="263"/>
        <v>1</v>
      </c>
      <c r="AJ366" s="95">
        <f t="shared" si="264"/>
        <v>1</v>
      </c>
      <c r="AK366" s="95">
        <f t="shared" si="265"/>
        <v>1</v>
      </c>
      <c r="AL366" s="65"/>
      <c r="AM366" s="96">
        <f t="shared" ref="AM366:AO366" si="272">AM365</f>
        <v>0.90400000000000003</v>
      </c>
      <c r="AN366" s="96">
        <f t="shared" si="272"/>
        <v>9.6000000000000002E-2</v>
      </c>
      <c r="AO366" s="96">
        <f t="shared" si="272"/>
        <v>0</v>
      </c>
      <c r="AP366" s="65">
        <f t="shared" si="266"/>
        <v>0.02</v>
      </c>
      <c r="AQ366" s="65"/>
      <c r="AR366" s="65"/>
      <c r="AS366" s="65"/>
      <c r="AT366" s="95">
        <f>IF(ISNUMBER(H366),H366*F366*Z366/1000*Balance!$H$13/J366,0)</f>
        <v>9.0522046069906938</v>
      </c>
      <c r="AU366" s="95">
        <f>IF(ISTEXT(K366),IF(ISNUMBER(O366),O366*M366*Z366/1000*Balance!$H$13/Q366,0),AT366)</f>
        <v>9.0522046069906938</v>
      </c>
      <c r="AV366" s="95">
        <f>IF(ISTEXT(R366),IF(ISNUMBER(V366),V366*T366*Z366/1000*Balance!$H$13/X366,0),AT366)</f>
        <v>9.0522046069906938</v>
      </c>
      <c r="AW366" s="65"/>
      <c r="AX366" s="95">
        <f>AT366*AX360</f>
        <v>8.1831929647195878</v>
      </c>
      <c r="AY366" s="95">
        <f>AU366*AY360</f>
        <v>0.86901164227110661</v>
      </c>
      <c r="AZ366" s="95">
        <f>AV366*AZ360</f>
        <v>0</v>
      </c>
      <c r="BA366" s="95">
        <f t="shared" si="268"/>
        <v>9.0522046069906938</v>
      </c>
      <c r="BB366" s="65"/>
      <c r="BC366" s="95">
        <f>IF(ISNUMBER(I366),I366*F366*Z366/1000*Balance!$H$13/J366,0)</f>
        <v>3.5491241395986202</v>
      </c>
      <c r="BD366" s="95">
        <f>IF(ISTEXT(K366),IF(ISNUMBER(P366),P366*M366*Z366/1000*Balance!$H$13/Q366,0),BC366)</f>
        <v>3.5491241395986202</v>
      </c>
      <c r="BE366" s="95">
        <f>IF(ISTEXT(R366),IF(ISNUMBER(W366),W366*T366*Z366/1000*Balance!$H$13/X366,0),BC366)</f>
        <v>3.5491241395986202</v>
      </c>
      <c r="BF366" s="65"/>
      <c r="BG366" s="95">
        <f>BC366*BG360</f>
        <v>3.2084082221971526</v>
      </c>
      <c r="BH366" s="95">
        <f>BD366*BH360</f>
        <v>0.34071591740146756</v>
      </c>
      <c r="BI366" s="95">
        <f>BE366*BI360</f>
        <v>0</v>
      </c>
      <c r="BJ366" s="95">
        <f t="shared" si="269"/>
        <v>3.5491241395986202</v>
      </c>
      <c r="BK366" s="65"/>
      <c r="BL366" s="65"/>
      <c r="BM366" s="65"/>
    </row>
    <row r="367" spans="2:65" outlineLevel="1" x14ac:dyDescent="0.25">
      <c r="B367" s="201"/>
      <c r="C367" s="91"/>
      <c r="D367" s="418"/>
      <c r="E367" s="407"/>
      <c r="F367" s="94"/>
      <c r="G367" s="136" t="str">
        <f>IF(ISNUMBER(VLOOKUP(LEFT(D367,3),'Material editor'!$D$11:$H$110,'Material editor'!$E$8,0)),VLOOKUP(LEFT(D367,3),'Material editor'!$D$11:$H$110,'Material editor'!$E$8,0),"")</f>
        <v/>
      </c>
      <c r="H367" s="137" t="str">
        <f>IF(ISNUMBER(VLOOKUP(LEFT(D367,3),'Material editor'!$D$11:$H$110,'Material editor'!$F$8,0)),VLOOKUP(LEFT(D367,3),'Material editor'!$D$11:$H$110,'Material editor'!$F$8,0),"")</f>
        <v/>
      </c>
      <c r="I367" s="137" t="str">
        <f>IF(ISNUMBER(VLOOKUP(LEFT(D367,3),'Material editor'!$D$11:$H$110,'Material editor'!$G$8,0)),VLOOKUP(LEFT(D367,3),'Material editor'!$D$11:$H$110,'Material editor'!$G$8,0),"")</f>
        <v/>
      </c>
      <c r="J367" s="137" t="str">
        <f>IF(ISNUMBER(VLOOKUP(LEFT(D367,3),'Material editor'!$D$11:$H$110,'Material editor'!$H$8,0)),VLOOKUP(LEFT(D367,3),'Material editor'!$D$11:$H$110,'Material editor'!$H$8,0),"")</f>
        <v/>
      </c>
      <c r="K367" s="422"/>
      <c r="L367" s="419"/>
      <c r="M367" s="94"/>
      <c r="N367" s="136" t="str">
        <f>IF(ISNUMBER(VLOOKUP(LEFT(K367,3),'Material editor'!$D$11:$H$110,'Material editor'!$E$8,0)),VLOOKUP(LEFT(K367,3),'Material editor'!$D$11:$H$110,'Material editor'!$E$8,0),"")</f>
        <v/>
      </c>
      <c r="O367" s="137" t="str">
        <f>IF(ISNUMBER(VLOOKUP(LEFT(K367,3),'Material editor'!$D$11:$H$110,'Material editor'!$F$8,0)),VLOOKUP(LEFT(K367,3),'Material editor'!$D$11:$H$110,'Material editor'!$F$8,0),"")</f>
        <v/>
      </c>
      <c r="P367" s="137" t="str">
        <f>IF(ISNUMBER(VLOOKUP(LEFT(K367,3),'Material editor'!$D$11:$H$110,'Material editor'!$G$8,0)),VLOOKUP(LEFT(K367,3),'Material editor'!$D$11:$H$110,'Material editor'!$G$8,0),"")</f>
        <v/>
      </c>
      <c r="Q367" s="137" t="str">
        <f>IF(ISNUMBER(VLOOKUP(LEFT(K367,3),'Material editor'!$D$11:$H$110,'Material editor'!$H$8,0)),VLOOKUP(LEFT(K367,3),'Material editor'!$D$11:$H$110,'Material editor'!$H$8,0),"")</f>
        <v/>
      </c>
      <c r="R367" s="418"/>
      <c r="S367" s="407"/>
      <c r="T367" s="94"/>
      <c r="U367" s="136" t="str">
        <f>IF(ISNUMBER(VLOOKUP(LEFT(R367,3),'Material editor'!$D$11:$H$110,'Material editor'!$E$8,0)),VLOOKUP(LEFT(R367,3),'Material editor'!$D$11:$H$110,'Material editor'!$E$8,0),"")</f>
        <v/>
      </c>
      <c r="V367" s="137" t="str">
        <f>IF(ISNUMBER(VLOOKUP(LEFT(R367,3),'Material editor'!$D$11:$H$110,'Material editor'!$F$8,0)),VLOOKUP(LEFT(R367,3),'Material editor'!$D$11:$H$110,'Material editor'!$F$8,0),"")</f>
        <v/>
      </c>
      <c r="W367" s="137" t="str">
        <f>IF(ISNUMBER(VLOOKUP(LEFT(R367,3),'Material editor'!$D$11:$H$110,'Material editor'!$G$8,0)),VLOOKUP(LEFT(R367,3),'Material editor'!$D$11:$H$110,'Material editor'!$G$8,0),"")</f>
        <v/>
      </c>
      <c r="X367" s="137" t="str">
        <f>IF(ISNUMBER(VLOOKUP(LEFT(R367,3),'Material editor'!$D$11:$H$110,'Material editor'!$H$8,0)),VLOOKUP(LEFT(R367,3),'Material editor'!$D$11:$H$110,'Material editor'!$H$8,0),"")</f>
        <v/>
      </c>
      <c r="Y367" s="74"/>
      <c r="Z367" s="94"/>
      <c r="AA367" s="8"/>
      <c r="AB367" s="61"/>
      <c r="AC367" s="65"/>
      <c r="AD367" s="65"/>
      <c r="AE367" s="95">
        <f t="shared" si="260"/>
        <v>0</v>
      </c>
      <c r="AF367" s="95">
        <f t="shared" si="261"/>
        <v>0</v>
      </c>
      <c r="AG367" s="95">
        <f t="shared" si="262"/>
        <v>0</v>
      </c>
      <c r="AH367" s="65"/>
      <c r="AI367" s="95">
        <f t="shared" si="263"/>
        <v>0</v>
      </c>
      <c r="AJ367" s="95">
        <f t="shared" si="264"/>
        <v>0</v>
      </c>
      <c r="AK367" s="95">
        <f t="shared" si="265"/>
        <v>0</v>
      </c>
      <c r="AL367" s="65"/>
      <c r="AM367" s="96">
        <f t="shared" ref="AM367:AO367" si="273">AM366</f>
        <v>0.90400000000000003</v>
      </c>
      <c r="AN367" s="96">
        <f t="shared" si="273"/>
        <v>9.6000000000000002E-2</v>
      </c>
      <c r="AO367" s="96">
        <f t="shared" si="273"/>
        <v>0</v>
      </c>
      <c r="AP367" s="65">
        <f t="shared" si="266"/>
        <v>0</v>
      </c>
      <c r="AQ367" s="65"/>
      <c r="AR367" s="65"/>
      <c r="AS367" s="66"/>
      <c r="AT367" s="95">
        <f>IF(ISNUMBER(H367),H367*F367*Z367/1000*Balance!$H$13/J367,0)</f>
        <v>0</v>
      </c>
      <c r="AU367" s="95">
        <f>IF(ISTEXT(K367),IF(ISNUMBER(O367),O367*M367*Z367/1000*Balance!$H$13/Q367,0),AT367)</f>
        <v>0</v>
      </c>
      <c r="AV367" s="95">
        <f>IF(ISTEXT(R367),IF(ISNUMBER(V367),V367*T367*Z367/1000*Balance!$H$13/X367,0),AT367)</f>
        <v>0</v>
      </c>
      <c r="AW367" s="66"/>
      <c r="AX367" s="95">
        <f>AT367*AX360</f>
        <v>0</v>
      </c>
      <c r="AY367" s="95">
        <f>AU367*AY360</f>
        <v>0</v>
      </c>
      <c r="AZ367" s="95">
        <f>AV367*AZ360</f>
        <v>0</v>
      </c>
      <c r="BA367" s="95">
        <f t="shared" si="268"/>
        <v>0</v>
      </c>
      <c r="BB367" s="66"/>
      <c r="BC367" s="95">
        <f>IF(ISNUMBER(I367),I367*F367*Z367/1000*Balance!$H$13/J367,0)</f>
        <v>0</v>
      </c>
      <c r="BD367" s="95">
        <f>IF(ISTEXT(K367),IF(ISNUMBER(P367),P367*M367*Z367/1000*Balance!$H$13/Q367,0),BC367)</f>
        <v>0</v>
      </c>
      <c r="BE367" s="95">
        <f>IF(ISTEXT(R367),IF(ISNUMBER(W367),W367*T367*Z367/1000*Balance!$H$13/X367,0),BC367)</f>
        <v>0</v>
      </c>
      <c r="BF367" s="66"/>
      <c r="BG367" s="95">
        <f>BC367*BG360</f>
        <v>0</v>
      </c>
      <c r="BH367" s="95">
        <f>BD367*BH360</f>
        <v>0</v>
      </c>
      <c r="BI367" s="95">
        <f>BE367*BI360</f>
        <v>0</v>
      </c>
      <c r="BJ367" s="95">
        <f t="shared" si="269"/>
        <v>0</v>
      </c>
      <c r="BK367" s="66"/>
      <c r="BL367" s="66"/>
      <c r="BM367" s="66"/>
    </row>
    <row r="368" spans="2:65" outlineLevel="1" x14ac:dyDescent="0.25">
      <c r="B368" s="201"/>
      <c r="C368" s="91"/>
      <c r="D368" s="418"/>
      <c r="E368" s="407"/>
      <c r="F368" s="94"/>
      <c r="G368" s="136" t="str">
        <f>IF(ISNUMBER(VLOOKUP(LEFT(D368,3),'Material editor'!$D$11:$H$110,'Material editor'!$E$8,0)),VLOOKUP(LEFT(D368,3),'Material editor'!$D$11:$H$110,'Material editor'!$E$8,0),"")</f>
        <v/>
      </c>
      <c r="H368" s="137" t="str">
        <f>IF(ISNUMBER(VLOOKUP(LEFT(D368,3),'Material editor'!$D$11:$H$110,'Material editor'!$F$8,0)),VLOOKUP(LEFT(D368,3),'Material editor'!$D$11:$H$110,'Material editor'!$F$8,0),"")</f>
        <v/>
      </c>
      <c r="I368" s="137" t="str">
        <f>IF(ISNUMBER(VLOOKUP(LEFT(D368,3),'Material editor'!$D$11:$H$110,'Material editor'!$G$8,0)),VLOOKUP(LEFT(D368,3),'Material editor'!$D$11:$H$110,'Material editor'!$G$8,0),"")</f>
        <v/>
      </c>
      <c r="J368" s="137" t="str">
        <f>IF(ISNUMBER(VLOOKUP(LEFT(D368,3),'Material editor'!$D$11:$H$110,'Material editor'!$H$8,0)),VLOOKUP(LEFT(D368,3),'Material editor'!$D$11:$H$110,'Material editor'!$H$8,0),"")</f>
        <v/>
      </c>
      <c r="K368" s="422"/>
      <c r="L368" s="419"/>
      <c r="M368" s="94"/>
      <c r="N368" s="136" t="str">
        <f>IF(ISNUMBER(VLOOKUP(LEFT(K368,3),'Material editor'!$D$11:$H$110,'Material editor'!$E$8,0)),VLOOKUP(LEFT(K368,3),'Material editor'!$D$11:$H$110,'Material editor'!$E$8,0),"")</f>
        <v/>
      </c>
      <c r="O368" s="137" t="str">
        <f>IF(ISNUMBER(VLOOKUP(LEFT(K368,3),'Material editor'!$D$11:$H$110,'Material editor'!$F$8,0)),VLOOKUP(LEFT(K368,3),'Material editor'!$D$11:$H$110,'Material editor'!$F$8,0),"")</f>
        <v/>
      </c>
      <c r="P368" s="137" t="str">
        <f>IF(ISNUMBER(VLOOKUP(LEFT(K368,3),'Material editor'!$D$11:$H$110,'Material editor'!$G$8,0)),VLOOKUP(LEFT(K368,3),'Material editor'!$D$11:$H$110,'Material editor'!$G$8,0),"")</f>
        <v/>
      </c>
      <c r="Q368" s="137" t="str">
        <f>IF(ISNUMBER(VLOOKUP(LEFT(K368,3),'Material editor'!$D$11:$H$110,'Material editor'!$H$8,0)),VLOOKUP(LEFT(K368,3),'Material editor'!$D$11:$H$110,'Material editor'!$H$8,0),"")</f>
        <v/>
      </c>
      <c r="R368" s="418"/>
      <c r="S368" s="407"/>
      <c r="T368" s="94"/>
      <c r="U368" s="136" t="str">
        <f>IF(ISNUMBER(VLOOKUP(LEFT(R368,3),'Material editor'!$D$11:$H$110,'Material editor'!$E$8,0)),VLOOKUP(LEFT(R368,3),'Material editor'!$D$11:$H$110,'Material editor'!$E$8,0),"")</f>
        <v/>
      </c>
      <c r="V368" s="137" t="str">
        <f>IF(ISNUMBER(VLOOKUP(LEFT(R368,3),'Material editor'!$D$11:$H$110,'Material editor'!$F$8,0)),VLOOKUP(LEFT(R368,3),'Material editor'!$D$11:$H$110,'Material editor'!$F$8,0),"")</f>
        <v/>
      </c>
      <c r="W368" s="137" t="str">
        <f>IF(ISNUMBER(VLOOKUP(LEFT(R368,3),'Material editor'!$D$11:$H$110,'Material editor'!$G$8,0)),VLOOKUP(LEFT(R368,3),'Material editor'!$D$11:$H$110,'Material editor'!$G$8,0),"")</f>
        <v/>
      </c>
      <c r="X368" s="137" t="str">
        <f>IF(ISNUMBER(VLOOKUP(LEFT(R368,3),'Material editor'!$D$11:$H$110,'Material editor'!$H$8,0)),VLOOKUP(LEFT(R368,3),'Material editor'!$D$11:$H$110,'Material editor'!$H$8,0),"")</f>
        <v/>
      </c>
      <c r="Y368" s="74"/>
      <c r="Z368" s="94"/>
      <c r="AA368" s="8"/>
      <c r="AB368" s="61"/>
      <c r="AC368" s="65"/>
      <c r="AD368" s="65"/>
      <c r="AE368" s="95">
        <f t="shared" si="260"/>
        <v>0</v>
      </c>
      <c r="AF368" s="95">
        <f t="shared" si="261"/>
        <v>0</v>
      </c>
      <c r="AG368" s="95">
        <f t="shared" si="262"/>
        <v>0</v>
      </c>
      <c r="AH368" s="65"/>
      <c r="AI368" s="95">
        <f t="shared" si="263"/>
        <v>0</v>
      </c>
      <c r="AJ368" s="95">
        <f t="shared" si="264"/>
        <v>0</v>
      </c>
      <c r="AK368" s="95">
        <f t="shared" si="265"/>
        <v>0</v>
      </c>
      <c r="AL368" s="65"/>
      <c r="AM368" s="96">
        <f t="shared" ref="AM368:AO368" si="274">AM367</f>
        <v>0.90400000000000003</v>
      </c>
      <c r="AN368" s="96">
        <f t="shared" si="274"/>
        <v>9.6000000000000002E-2</v>
      </c>
      <c r="AO368" s="96">
        <f t="shared" si="274"/>
        <v>0</v>
      </c>
      <c r="AP368" s="65">
        <f t="shared" si="266"/>
        <v>0</v>
      </c>
      <c r="AQ368" s="65"/>
      <c r="AR368" s="65"/>
      <c r="AS368" s="66"/>
      <c r="AT368" s="95">
        <f>IF(ISNUMBER(H368),H368*F368*Z368/1000*Balance!$H$13/J368,0)</f>
        <v>0</v>
      </c>
      <c r="AU368" s="95">
        <f>IF(ISTEXT(K368),IF(ISNUMBER(O368),O368*M368*Z368/1000*Balance!$H$13/Q368,0),AT368)</f>
        <v>0</v>
      </c>
      <c r="AV368" s="95">
        <f>IF(ISTEXT(R368),IF(ISNUMBER(V368),V368*T368*Z368/1000*Balance!$H$13/X368,0),AT368)</f>
        <v>0</v>
      </c>
      <c r="AW368" s="66"/>
      <c r="AX368" s="95">
        <f>AT368*AX360</f>
        <v>0</v>
      </c>
      <c r="AY368" s="95">
        <f>AU368*AY360</f>
        <v>0</v>
      </c>
      <c r="AZ368" s="95">
        <f>AV368*AZ360</f>
        <v>0</v>
      </c>
      <c r="BA368" s="95">
        <f t="shared" si="268"/>
        <v>0</v>
      </c>
      <c r="BB368" s="66"/>
      <c r="BC368" s="95">
        <f>IF(ISNUMBER(I368),I368*F368*Z368/1000*Balance!$H$13/J368,0)</f>
        <v>0</v>
      </c>
      <c r="BD368" s="95">
        <f>IF(ISTEXT(K368),IF(ISNUMBER(P368),P368*M368*Z368/1000*Balance!$H$13/Q368,0),BC368)</f>
        <v>0</v>
      </c>
      <c r="BE368" s="95">
        <f>IF(ISTEXT(R368),IF(ISNUMBER(W368),W368*T368*Z368/1000*Balance!$H$13/X368,0),BC368)</f>
        <v>0</v>
      </c>
      <c r="BF368" s="66"/>
      <c r="BG368" s="95">
        <f>BC368*BG360</f>
        <v>0</v>
      </c>
      <c r="BH368" s="95">
        <f>BD368*BH360</f>
        <v>0</v>
      </c>
      <c r="BI368" s="95">
        <f>BE368*BI360</f>
        <v>0</v>
      </c>
      <c r="BJ368" s="95">
        <f t="shared" si="269"/>
        <v>0</v>
      </c>
      <c r="BK368" s="66"/>
      <c r="BL368" s="66"/>
      <c r="BM368" s="66"/>
    </row>
    <row r="369" spans="2:65" outlineLevel="1" x14ac:dyDescent="0.25">
      <c r="B369" s="201"/>
      <c r="C369" s="91"/>
      <c r="D369" s="418"/>
      <c r="E369" s="407"/>
      <c r="F369" s="94"/>
      <c r="G369" s="136" t="str">
        <f>IF(ISNUMBER(VLOOKUP(LEFT(D369,3),'Material editor'!$D$11:$H$110,'Material editor'!$E$8,0)),VLOOKUP(LEFT(D369,3),'Material editor'!$D$11:$H$110,'Material editor'!$E$8,0),"")</f>
        <v/>
      </c>
      <c r="H369" s="137" t="str">
        <f>IF(ISNUMBER(VLOOKUP(LEFT(D369,3),'Material editor'!$D$11:$H$110,'Material editor'!$F$8,0)),VLOOKUP(LEFT(D369,3),'Material editor'!$D$11:$H$110,'Material editor'!$F$8,0),"")</f>
        <v/>
      </c>
      <c r="I369" s="137" t="str">
        <f>IF(ISNUMBER(VLOOKUP(LEFT(D369,3),'Material editor'!$D$11:$H$110,'Material editor'!$G$8,0)),VLOOKUP(LEFT(D369,3),'Material editor'!$D$11:$H$110,'Material editor'!$G$8,0),"")</f>
        <v/>
      </c>
      <c r="J369" s="137" t="str">
        <f>IF(ISNUMBER(VLOOKUP(LEFT(D369,3),'Material editor'!$D$11:$H$110,'Material editor'!$H$8,0)),VLOOKUP(LEFT(D369,3),'Material editor'!$D$11:$H$110,'Material editor'!$H$8,0),"")</f>
        <v/>
      </c>
      <c r="K369" s="422"/>
      <c r="L369" s="419"/>
      <c r="M369" s="94"/>
      <c r="N369" s="136" t="str">
        <f>IF(ISNUMBER(VLOOKUP(LEFT(K369,3),'Material editor'!$D$11:$H$110,'Material editor'!$E$8,0)),VLOOKUP(LEFT(K369,3),'Material editor'!$D$11:$H$110,'Material editor'!$E$8,0),"")</f>
        <v/>
      </c>
      <c r="O369" s="137" t="str">
        <f>IF(ISNUMBER(VLOOKUP(LEFT(K369,3),'Material editor'!$D$11:$H$110,'Material editor'!$F$8,0)),VLOOKUP(LEFT(K369,3),'Material editor'!$D$11:$H$110,'Material editor'!$F$8,0),"")</f>
        <v/>
      </c>
      <c r="P369" s="137" t="str">
        <f>IF(ISNUMBER(VLOOKUP(LEFT(K369,3),'Material editor'!$D$11:$H$110,'Material editor'!$G$8,0)),VLOOKUP(LEFT(K369,3),'Material editor'!$D$11:$H$110,'Material editor'!$G$8,0),"")</f>
        <v/>
      </c>
      <c r="Q369" s="137" t="str">
        <f>IF(ISNUMBER(VLOOKUP(LEFT(K369,3),'Material editor'!$D$11:$H$110,'Material editor'!$H$8,0)),VLOOKUP(LEFT(K369,3),'Material editor'!$D$11:$H$110,'Material editor'!$H$8,0),"")</f>
        <v/>
      </c>
      <c r="R369" s="418"/>
      <c r="S369" s="407"/>
      <c r="T369" s="94"/>
      <c r="U369" s="136" t="str">
        <f>IF(ISNUMBER(VLOOKUP(LEFT(R369,3),'Material editor'!$D$11:$H$110,'Material editor'!$E$8,0)),VLOOKUP(LEFT(R369,3),'Material editor'!$D$11:$H$110,'Material editor'!$E$8,0),"")</f>
        <v/>
      </c>
      <c r="V369" s="137" t="str">
        <f>IF(ISNUMBER(VLOOKUP(LEFT(R369,3),'Material editor'!$D$11:$H$110,'Material editor'!$F$8,0)),VLOOKUP(LEFT(R369,3),'Material editor'!$D$11:$H$110,'Material editor'!$F$8,0),"")</f>
        <v/>
      </c>
      <c r="W369" s="137" t="str">
        <f>IF(ISNUMBER(VLOOKUP(LEFT(R369,3),'Material editor'!$D$11:$H$110,'Material editor'!$G$8,0)),VLOOKUP(LEFT(R369,3),'Material editor'!$D$11:$H$110,'Material editor'!$G$8,0),"")</f>
        <v/>
      </c>
      <c r="X369" s="137" t="str">
        <f>IF(ISNUMBER(VLOOKUP(LEFT(R369,3),'Material editor'!$D$11:$H$110,'Material editor'!$H$8,0)),VLOOKUP(LEFT(R369,3),'Material editor'!$D$11:$H$110,'Material editor'!$H$8,0),"")</f>
        <v/>
      </c>
      <c r="Y369" s="74"/>
      <c r="Z369" s="94"/>
      <c r="AA369" s="8"/>
      <c r="AB369" s="61"/>
      <c r="AC369" s="65"/>
      <c r="AD369" s="65"/>
      <c r="AE369" s="95">
        <f t="shared" si="260"/>
        <v>0</v>
      </c>
      <c r="AF369" s="95">
        <f t="shared" si="261"/>
        <v>0</v>
      </c>
      <c r="AG369" s="95">
        <f t="shared" si="262"/>
        <v>0</v>
      </c>
      <c r="AH369" s="65"/>
      <c r="AI369" s="95">
        <f>IF(ISNUMBER(G369),G369,0)</f>
        <v>0</v>
      </c>
      <c r="AJ369" s="95">
        <f t="shared" si="264"/>
        <v>0</v>
      </c>
      <c r="AK369" s="95">
        <f t="shared" si="265"/>
        <v>0</v>
      </c>
      <c r="AL369" s="65"/>
      <c r="AM369" s="96">
        <f t="shared" ref="AM369:AO369" si="275">AM368</f>
        <v>0.90400000000000003</v>
      </c>
      <c r="AN369" s="96">
        <f t="shared" si="275"/>
        <v>9.6000000000000002E-2</v>
      </c>
      <c r="AO369" s="96">
        <f t="shared" si="275"/>
        <v>0</v>
      </c>
      <c r="AP369" s="65">
        <f t="shared" si="266"/>
        <v>0</v>
      </c>
      <c r="AQ369" s="65"/>
      <c r="AR369" s="65"/>
      <c r="AS369" s="66"/>
      <c r="AT369" s="95">
        <f>IF(ISNUMBER(H369),H369*F369*Z369/1000*Balance!$H$13/J369,0)</f>
        <v>0</v>
      </c>
      <c r="AU369" s="95">
        <f>IF(ISTEXT(K369),IF(ISNUMBER(O369),O369*M369*Z369/1000*Balance!$H$13/Q369,0),AT369)</f>
        <v>0</v>
      </c>
      <c r="AV369" s="95">
        <f>IF(ISTEXT(R369),IF(ISNUMBER(V369),V369*T369*Z369/1000*Balance!$H$13/X369,0),AT369)</f>
        <v>0</v>
      </c>
      <c r="AW369" s="66"/>
      <c r="AX369" s="95">
        <f>AT369*AX360</f>
        <v>0</v>
      </c>
      <c r="AY369" s="95">
        <f>AU369*AY360</f>
        <v>0</v>
      </c>
      <c r="AZ369" s="95">
        <f>AV369*AZ360</f>
        <v>0</v>
      </c>
      <c r="BA369" s="95">
        <f t="shared" si="268"/>
        <v>0</v>
      </c>
      <c r="BB369" s="66"/>
      <c r="BC369" s="95">
        <f>IF(ISNUMBER(I369),I369*F369*Z369/1000*Balance!$H$13/J369,0)</f>
        <v>0</v>
      </c>
      <c r="BD369" s="95">
        <f>IF(ISTEXT(K369),IF(ISNUMBER(P369),P369*M369*Z369/1000*Balance!$H$13/Q369,0),BC369)</f>
        <v>0</v>
      </c>
      <c r="BE369" s="95">
        <f>IF(ISTEXT(R369),IF(ISNUMBER(W369),W369*T369*Z369/1000*Balance!$H$13/X369,0),BC369)</f>
        <v>0</v>
      </c>
      <c r="BF369" s="66"/>
      <c r="BG369" s="95">
        <f>BC369*BG360</f>
        <v>0</v>
      </c>
      <c r="BH369" s="95">
        <f>BD369*BH360</f>
        <v>0</v>
      </c>
      <c r="BI369" s="95">
        <f>BE369*BI360</f>
        <v>0</v>
      </c>
      <c r="BJ369" s="95">
        <f t="shared" si="269"/>
        <v>0</v>
      </c>
      <c r="BK369" s="66"/>
      <c r="BL369" s="66"/>
      <c r="BM369" s="66"/>
    </row>
    <row r="370" spans="2:65" outlineLevel="1" x14ac:dyDescent="0.25">
      <c r="B370" s="201"/>
      <c r="C370" s="77"/>
      <c r="D370" s="125">
        <f>MAX(0,1-K370-R370)</f>
        <v>0.90400000000000003</v>
      </c>
      <c r="E370" s="126" t="s">
        <v>141</v>
      </c>
      <c r="F370" s="126"/>
      <c r="H370" s="97"/>
      <c r="I370" s="97"/>
      <c r="J370" s="97"/>
      <c r="K370" s="100">
        <f>6/62.5</f>
        <v>9.6000000000000002E-2</v>
      </c>
      <c r="L370" s="126" t="s">
        <v>138</v>
      </c>
      <c r="M370" s="126"/>
      <c r="R370" s="100"/>
      <c r="S370" s="126" t="s">
        <v>139</v>
      </c>
      <c r="T370" s="126"/>
      <c r="V370" s="67"/>
      <c r="Y370" s="74"/>
      <c r="Z370" s="5" t="s">
        <v>140</v>
      </c>
      <c r="AA370" s="8"/>
      <c r="AB370" s="61"/>
      <c r="AC370" s="98"/>
      <c r="AD370" s="98" t="s">
        <v>124</v>
      </c>
      <c r="AE370" s="99">
        <f>IF(ISNUMBER($G362),1/($D357+SUM(AE362:AE369)+$D358),0)</f>
        <v>0.13342148972668497</v>
      </c>
      <c r="AF370" s="99">
        <f>IF(ISNUMBER($G362),1/($D357+SUM(AF362:AF369)+$D358),0)</f>
        <v>0.25832946943101281</v>
      </c>
      <c r="AG370" s="99">
        <f>IF(ISNUMBER($G362),1/($D357+SUM(AG362:AG369)+$D358),0)</f>
        <v>0.13342148972668497</v>
      </c>
      <c r="AH370" s="65"/>
      <c r="AI370" s="65"/>
      <c r="AJ370" s="65"/>
      <c r="AK370" s="65"/>
      <c r="AL370" s="65"/>
      <c r="AM370" s="65"/>
      <c r="AN370" s="65"/>
      <c r="AO370" s="65"/>
      <c r="AP370" s="65"/>
      <c r="AQ370" s="65"/>
      <c r="AR370" s="65"/>
      <c r="AS370" s="66"/>
      <c r="AT370" s="66"/>
      <c r="AU370" s="66"/>
      <c r="AV370" s="66"/>
      <c r="AW370" s="66"/>
      <c r="AX370" s="66"/>
      <c r="AY370" s="66"/>
      <c r="AZ370" s="66"/>
      <c r="BA370" s="66"/>
      <c r="BB370" s="66"/>
      <c r="BC370" s="66"/>
      <c r="BD370" s="66"/>
      <c r="BE370" s="66"/>
      <c r="BF370" s="66"/>
      <c r="BG370" s="66"/>
      <c r="BH370" s="66"/>
      <c r="BI370" s="66"/>
      <c r="BJ370" s="66"/>
      <c r="BK370" s="66"/>
      <c r="BL370" s="66"/>
      <c r="BM370" s="66"/>
    </row>
    <row r="371" spans="2:65" outlineLevel="1" x14ac:dyDescent="0.25">
      <c r="B371" s="201"/>
      <c r="C371" s="77"/>
      <c r="D371" s="41"/>
      <c r="E371" s="116" t="s">
        <v>150</v>
      </c>
      <c r="F371" s="116"/>
      <c r="H371" s="68"/>
      <c r="I371" s="68"/>
      <c r="J371" s="68"/>
      <c r="K371" s="157" t="str">
        <f>IF(AE377&lt;=0.1,"","Der Fehler der U-Wert-Berechnung liegt möglicherweise über 10 %. Wärmebrückenberechnung?")</f>
        <v/>
      </c>
      <c r="L371" s="68"/>
      <c r="M371" s="68"/>
      <c r="N371" s="68"/>
      <c r="R371" s="5"/>
      <c r="S371" s="5"/>
      <c r="T371" s="5"/>
      <c r="U371" s="68"/>
      <c r="V371" s="68"/>
      <c r="X371" s="68"/>
      <c r="Y371" s="5"/>
      <c r="Z371" s="189">
        <f>IF(ISNUMBER(Z362),SUM(Z362:Z370)/10,"")</f>
        <v>39</v>
      </c>
      <c r="AA371" s="10" t="s">
        <v>8</v>
      </c>
      <c r="AB371" s="61"/>
      <c r="AC371" s="98"/>
      <c r="AD371" s="98" t="s">
        <v>125</v>
      </c>
      <c r="AE371" s="101">
        <f>1-SUM(AF371:AG371)</f>
        <v>0.90400000000000003</v>
      </c>
      <c r="AF371" s="102">
        <f>K370</f>
        <v>9.6000000000000002E-2</v>
      </c>
      <c r="AG371" s="102">
        <f>R370</f>
        <v>0</v>
      </c>
      <c r="AH371" s="98"/>
      <c r="AI371" s="65"/>
      <c r="AJ371" s="65"/>
      <c r="AK371" s="65"/>
      <c r="AL371" s="65"/>
      <c r="AM371" s="65"/>
      <c r="AN371" s="65"/>
      <c r="AO371" s="65"/>
      <c r="AP371" s="65"/>
      <c r="AQ371" s="65"/>
      <c r="AR371" s="65" t="s">
        <v>393</v>
      </c>
      <c r="AS371" s="148"/>
      <c r="AT371" s="175" t="s">
        <v>393</v>
      </c>
      <c r="AU371" s="65" t="s">
        <v>366</v>
      </c>
      <c r="AV371" s="65" t="s">
        <v>355</v>
      </c>
      <c r="AW371" s="66"/>
      <c r="AX371" s="65" t="s">
        <v>394</v>
      </c>
      <c r="AY371" s="65" t="s">
        <v>356</v>
      </c>
      <c r="AZ371" s="66"/>
      <c r="BA371" s="66"/>
      <c r="BB371" s="66"/>
      <c r="BC371" s="66"/>
      <c r="BD371" s="66"/>
      <c r="BE371" s="66"/>
      <c r="BF371" s="66"/>
      <c r="BG371" s="66"/>
      <c r="BH371" s="66"/>
      <c r="BI371" s="66"/>
      <c r="BJ371" s="66"/>
      <c r="BK371" s="66"/>
      <c r="BL371" s="66"/>
      <c r="BM371" s="66"/>
    </row>
    <row r="372" spans="2:65" outlineLevel="1" x14ac:dyDescent="0.25">
      <c r="B372" s="201"/>
      <c r="C372" s="77"/>
      <c r="D372" s="68"/>
      <c r="E372" s="68"/>
      <c r="F372" s="68"/>
      <c r="G372" s="68"/>
      <c r="H372" s="68"/>
      <c r="I372" s="68"/>
      <c r="J372" s="68"/>
      <c r="K372" s="68"/>
      <c r="L372" s="68"/>
      <c r="M372" s="68"/>
      <c r="N372" s="68"/>
      <c r="O372" s="68"/>
      <c r="P372" s="68"/>
      <c r="Q372" s="68"/>
      <c r="R372" s="68"/>
      <c r="T372" s="68"/>
      <c r="U372" s="68"/>
      <c r="V372" s="68"/>
      <c r="W372" s="68"/>
      <c r="X372" s="68"/>
      <c r="Y372" s="5"/>
      <c r="Z372" s="67"/>
      <c r="AA372" s="8"/>
      <c r="AB372" s="61"/>
      <c r="AC372" s="101"/>
      <c r="AD372" s="101"/>
      <c r="AE372" s="99"/>
      <c r="AF372" s="99"/>
      <c r="AG372" s="99"/>
      <c r="AH372" s="65"/>
      <c r="AI372" s="65"/>
      <c r="AJ372" s="65"/>
      <c r="AK372" s="65"/>
      <c r="AL372" s="65"/>
      <c r="AM372" s="65"/>
      <c r="AN372" s="65"/>
      <c r="AO372" s="65"/>
      <c r="AP372" s="65"/>
      <c r="AQ372" s="65"/>
      <c r="AR372" s="65"/>
      <c r="AS372" s="65"/>
      <c r="AT372" s="101" t="s">
        <v>367</v>
      </c>
      <c r="AU372" s="176">
        <f>Z373*F357*Balance!$H$6</f>
        <v>11.638677888000695</v>
      </c>
      <c r="AV372" s="176">
        <f>AU372*Balance!$H$13</f>
        <v>232.77355776001389</v>
      </c>
      <c r="AW372" s="66"/>
      <c r="AX372" s="66"/>
      <c r="AY372" s="66"/>
      <c r="AZ372" s="66"/>
      <c r="BA372" s="101" t="s">
        <v>351</v>
      </c>
      <c r="BB372" s="66"/>
      <c r="BC372" s="66"/>
      <c r="BD372" s="66"/>
      <c r="BE372" s="66"/>
      <c r="BF372" s="66"/>
      <c r="BG372" s="66"/>
      <c r="BH372" s="66"/>
      <c r="BI372" s="66"/>
      <c r="BJ372" s="66"/>
      <c r="BK372" s="66"/>
      <c r="BL372" s="66"/>
      <c r="BM372" s="66"/>
    </row>
    <row r="373" spans="2:65" ht="18" outlineLevel="1" x14ac:dyDescent="0.35">
      <c r="B373" s="201"/>
      <c r="C373" s="77"/>
      <c r="H373" s="68"/>
      <c r="I373" s="68"/>
      <c r="J373" s="67"/>
      <c r="K373" s="192" t="s">
        <v>397</v>
      </c>
      <c r="L373" s="67"/>
      <c r="M373" s="67"/>
      <c r="N373" s="67"/>
      <c r="O373" s="67"/>
      <c r="P373" s="67"/>
      <c r="Q373" s="67"/>
      <c r="R373" s="14" t="s">
        <v>398</v>
      </c>
      <c r="U373" s="68"/>
      <c r="V373" s="68"/>
      <c r="W373" s="68"/>
      <c r="X373" s="68"/>
      <c r="Y373" s="127" t="s">
        <v>154</v>
      </c>
      <c r="Z373" s="193">
        <f>IF(ISNUMBER(G362),IF(AE377&lt;0.1,1/AE373,1/(AP373*1.1))+D371,"")</f>
        <v>0.14732503655697082</v>
      </c>
      <c r="AA373" s="8" t="s">
        <v>10</v>
      </c>
      <c r="AB373" s="61"/>
      <c r="AC373" s="101"/>
      <c r="AD373" s="101" t="s">
        <v>126</v>
      </c>
      <c r="AE373" s="95">
        <f>IF(ISNUMBER(G362),AVERAGE(AG373,AP373),0)</f>
        <v>6.7877125529393529</v>
      </c>
      <c r="AF373" s="101" t="s">
        <v>127</v>
      </c>
      <c r="AG373" s="95">
        <f>IF(ISNUMBER(G362),1/SUMPRODUCT(AE371:AG371,AE370:AG370),0)</f>
        <v>6.8769805120994656</v>
      </c>
      <c r="AH373" s="65"/>
      <c r="AI373" s="65"/>
      <c r="AJ373" s="65"/>
      <c r="AK373" s="65"/>
      <c r="AL373" s="103"/>
      <c r="AM373" s="65"/>
      <c r="AN373" s="65"/>
      <c r="AO373" s="101" t="s">
        <v>128</v>
      </c>
      <c r="AP373" s="95">
        <f>$D357+SUM(AP362:AP369)+$D358</f>
        <v>6.6984445937792403</v>
      </c>
      <c r="AQ373" s="65"/>
      <c r="AR373" s="65"/>
      <c r="AS373" s="152" t="str">
        <f>Data!$D$4</f>
        <v>Heat pump</v>
      </c>
      <c r="AT373" s="177" t="s">
        <v>374</v>
      </c>
      <c r="AU373" s="179">
        <f>AU372/(Balance!$H$17*Balance!$H$18*Balance!$H$19)*Balance!$H$22</f>
        <v>7.7591185920004628</v>
      </c>
      <c r="AV373" s="176">
        <f>AU373*Balance!$H$13</f>
        <v>155.18237184000927</v>
      </c>
      <c r="AW373" s="66"/>
      <c r="AX373" s="186">
        <f ca="1">AU372/(Balance!$H$17*Balance!$H$18*Balance!$H$19)*Balance!$G$22/1000</f>
        <v>1.4656112896000872</v>
      </c>
      <c r="AY373" s="176">
        <f ca="1">AX373*Balance!$H$13</f>
        <v>29.312225792001744</v>
      </c>
      <c r="AZ373" s="101"/>
      <c r="BA373" s="95">
        <f>SUM(BA362:BA369)</f>
        <v>59.1994597651072</v>
      </c>
      <c r="BB373" s="66" t="s">
        <v>355</v>
      </c>
      <c r="BC373" s="66"/>
      <c r="BD373" s="66"/>
      <c r="BE373" s="66"/>
      <c r="BF373" s="66"/>
      <c r="BG373" s="66"/>
      <c r="BH373" s="66"/>
      <c r="BI373" s="101" t="s">
        <v>149</v>
      </c>
      <c r="BJ373" s="95">
        <f>SUM(BJ362:BJ369)</f>
        <v>-23.36748114513474</v>
      </c>
      <c r="BK373" s="66" t="s">
        <v>357</v>
      </c>
      <c r="BL373" s="66"/>
      <c r="BM373" s="66"/>
    </row>
    <row r="374" spans="2:65" ht="15.75" outlineLevel="1" x14ac:dyDescent="0.25">
      <c r="B374" s="201"/>
      <c r="C374" s="77"/>
      <c r="D374" s="155"/>
      <c r="E374" s="188" t="s">
        <v>395</v>
      </c>
      <c r="F374" s="116"/>
      <c r="H374" s="68"/>
      <c r="I374" s="68"/>
      <c r="J374" s="67"/>
      <c r="K374" s="190">
        <f>BA373</f>
        <v>59.1994597651072</v>
      </c>
      <c r="L374" s="128" t="s">
        <v>400</v>
      </c>
      <c r="M374" s="67"/>
      <c r="N374" s="67"/>
      <c r="O374" s="67"/>
      <c r="P374" s="67"/>
      <c r="Q374" s="67"/>
      <c r="R374" s="190">
        <f>BJ373</f>
        <v>-23.36748114513474</v>
      </c>
      <c r="S374" s="128" t="s">
        <v>399</v>
      </c>
      <c r="U374" s="68"/>
      <c r="V374" s="68"/>
      <c r="W374" s="68"/>
      <c r="X374" s="68"/>
      <c r="Y374" s="67"/>
      <c r="Z374" s="67"/>
      <c r="AA374" s="8"/>
      <c r="AB374" s="61"/>
      <c r="AC374" s="101"/>
      <c r="AD374" s="101"/>
      <c r="AE374" s="154"/>
      <c r="AF374" s="101"/>
      <c r="AG374" s="154"/>
      <c r="AH374" s="65"/>
      <c r="AI374" s="65"/>
      <c r="AJ374" s="65"/>
      <c r="AK374" s="65"/>
      <c r="AL374" s="103"/>
      <c r="AM374" s="65"/>
      <c r="AN374" s="65"/>
      <c r="AO374" s="101"/>
      <c r="AP374" s="154"/>
      <c r="AQ374" s="65"/>
      <c r="AR374" s="65"/>
      <c r="AS374" s="152" t="str">
        <f>Data!$D$5</f>
        <v>Direct electric</v>
      </c>
      <c r="AT374" s="177" t="s">
        <v>374</v>
      </c>
      <c r="AU374" s="179">
        <f>AU372/Balance!$H$18*Balance!$H$22</f>
        <v>20.949620198401252</v>
      </c>
      <c r="AV374" s="176">
        <f>AU374*Balance!$H$13</f>
        <v>418.99240396802503</v>
      </c>
      <c r="AW374" s="66"/>
      <c r="AX374" s="186">
        <f ca="1">AU372/Balance!$H$18*Balance!$G$22/1000</f>
        <v>3.9571504819202366</v>
      </c>
      <c r="AY374" s="176">
        <f ca="1">AX374*Balance!$H$13</f>
        <v>79.143009638404735</v>
      </c>
      <c r="AZ374" s="101"/>
      <c r="BA374" s="154"/>
      <c r="BB374" s="66"/>
      <c r="BC374" s="66"/>
      <c r="BD374" s="66"/>
      <c r="BE374" s="66"/>
      <c r="BF374" s="66"/>
      <c r="BG374" s="66"/>
      <c r="BH374" s="66"/>
      <c r="BI374" s="101"/>
      <c r="BJ374" s="154"/>
      <c r="BK374" s="66"/>
      <c r="BL374" s="66"/>
      <c r="BM374" s="66"/>
    </row>
    <row r="375" spans="2:65" ht="15.75" outlineLevel="1" x14ac:dyDescent="0.25">
      <c r="B375" s="201"/>
      <c r="C375" s="77"/>
      <c r="D375" s="155"/>
      <c r="E375" s="188" t="s">
        <v>396</v>
      </c>
      <c r="F375" s="116"/>
      <c r="H375" s="68"/>
      <c r="I375" s="68"/>
      <c r="J375" s="67"/>
      <c r="K375" s="190">
        <f>AV377</f>
        <v>155.18237184000927</v>
      </c>
      <c r="L375" s="128" t="s">
        <v>401</v>
      </c>
      <c r="M375" s="67"/>
      <c r="N375" s="67"/>
      <c r="O375" s="67"/>
      <c r="P375" s="67"/>
      <c r="Q375" s="67"/>
      <c r="R375" s="190">
        <f ca="1">AY377</f>
        <v>29.312225792001744</v>
      </c>
      <c r="S375" s="128" t="s">
        <v>358</v>
      </c>
      <c r="U375" s="68"/>
      <c r="V375" s="68"/>
      <c r="W375" s="68"/>
      <c r="X375" s="68"/>
      <c r="Y375" s="67"/>
      <c r="Z375" s="67"/>
      <c r="AA375" s="8"/>
      <c r="AB375" s="61"/>
      <c r="AC375" s="101"/>
      <c r="AD375" s="101"/>
      <c r="AE375" s="154"/>
      <c r="AF375" s="101"/>
      <c r="AG375" s="154"/>
      <c r="AH375" s="65"/>
      <c r="AI375" s="65"/>
      <c r="AJ375" s="65"/>
      <c r="AK375" s="65"/>
      <c r="AL375" s="103"/>
      <c r="AM375" s="65"/>
      <c r="AN375" s="65"/>
      <c r="AO375" s="101"/>
      <c r="AP375" s="154"/>
      <c r="AQ375" s="65"/>
      <c r="AR375" s="65"/>
      <c r="AS375" s="152" t="str">
        <f>Data!$D$6</f>
        <v>Gas boiler</v>
      </c>
      <c r="AT375" s="177" t="s">
        <v>374</v>
      </c>
      <c r="AU375" s="179">
        <f>AU372/(Balance!$H$18*Balance!$H$19)*Balance!H$23</f>
        <v>22.630762560001351</v>
      </c>
      <c r="AV375" s="176">
        <f>AU375*Balance!$H$13</f>
        <v>452.61525120002705</v>
      </c>
      <c r="AW375" s="66"/>
      <c r="AX375" s="186">
        <f ca="1">AU372/(Balance!$H$18*Balance!$H$19)*Balance!$G$23/1000</f>
        <v>3.2252685417144771</v>
      </c>
      <c r="AY375" s="176">
        <f ca="1">AX375*Balance!$H$13</f>
        <v>64.505370834289536</v>
      </c>
      <c r="AZ375" s="101"/>
      <c r="BA375" s="154"/>
      <c r="BB375" s="66"/>
      <c r="BC375" s="66"/>
      <c r="BD375" s="66"/>
      <c r="BE375" s="66"/>
      <c r="BF375" s="66"/>
      <c r="BG375" s="66"/>
      <c r="BH375" s="66"/>
      <c r="BI375" s="101"/>
      <c r="BJ375" s="154"/>
      <c r="BK375" s="66"/>
      <c r="BL375" s="66"/>
      <c r="BM375" s="66"/>
    </row>
    <row r="376" spans="2:65" ht="15.75" outlineLevel="1" x14ac:dyDescent="0.25">
      <c r="B376" s="201"/>
      <c r="C376" s="77"/>
      <c r="D376" s="155"/>
      <c r="E376" s="188" t="s">
        <v>352</v>
      </c>
      <c r="F376" s="116"/>
      <c r="H376" s="68"/>
      <c r="I376" s="68"/>
      <c r="J376" s="67"/>
      <c r="K376" s="191">
        <f>K375+K374</f>
        <v>214.38183160511647</v>
      </c>
      <c r="L376" s="128" t="s">
        <v>355</v>
      </c>
      <c r="M376" s="67"/>
      <c r="N376" s="67"/>
      <c r="O376" s="67"/>
      <c r="P376" s="67"/>
      <c r="Q376" s="67"/>
      <c r="R376" s="191">
        <f ca="1">R375+R374</f>
        <v>5.9447446468670044</v>
      </c>
      <c r="S376" s="128" t="s">
        <v>358</v>
      </c>
      <c r="T376" s="153"/>
      <c r="U376" s="68"/>
      <c r="V376" s="68"/>
      <c r="W376" s="68"/>
      <c r="X376" s="68"/>
      <c r="Y376" s="67"/>
      <c r="Z376" s="67"/>
      <c r="AA376" s="8"/>
      <c r="AB376" s="61"/>
      <c r="AC376" s="101"/>
      <c r="AD376" s="101"/>
      <c r="AE376" s="154"/>
      <c r="AF376" s="101"/>
      <c r="AG376" s="154"/>
      <c r="AH376" s="65"/>
      <c r="AI376" s="65"/>
      <c r="AJ376" s="65"/>
      <c r="AK376" s="65"/>
      <c r="AL376" s="103"/>
      <c r="AM376" s="65"/>
      <c r="AN376" s="65"/>
      <c r="AO376" s="101"/>
      <c r="AP376" s="154"/>
      <c r="AQ376" s="65"/>
      <c r="AR376" s="65"/>
      <c r="AS376" s="152" t="str">
        <f>Data!$D$7</f>
        <v>Biomass</v>
      </c>
      <c r="AT376" s="177" t="s">
        <v>374</v>
      </c>
      <c r="AU376" s="179">
        <f>AU372/(Balance!$H$18*Balance!$H$19)*Balance!$H$24</f>
        <v>14.22505075200085</v>
      </c>
      <c r="AV376" s="176">
        <f>AU376*Balance!$H$13</f>
        <v>284.50101504001702</v>
      </c>
      <c r="AW376" s="66"/>
      <c r="AX376" s="186">
        <f ca="1">AU372/(Balance!$H$18*Balance!$H$19)*Balance!$G$24/1000</f>
        <v>0.27480211680001637</v>
      </c>
      <c r="AY376" s="176">
        <f ca="1">AX376*Balance!$H$13</f>
        <v>5.4960423360003272</v>
      </c>
      <c r="AZ376" s="101"/>
      <c r="BA376" s="154"/>
      <c r="BB376" s="66"/>
      <c r="BC376" s="66"/>
      <c r="BD376" s="66"/>
      <c r="BE376" s="66"/>
      <c r="BF376" s="66"/>
      <c r="BG376" s="66"/>
      <c r="BH376" s="66"/>
      <c r="BI376" s="101"/>
      <c r="BJ376" s="154"/>
      <c r="BK376" s="66"/>
      <c r="BL376" s="66"/>
      <c r="BM376" s="66"/>
    </row>
    <row r="377" spans="2:65" outlineLevel="1" x14ac:dyDescent="0.25">
      <c r="B377" s="201"/>
      <c r="C377" s="104"/>
      <c r="D377" s="105"/>
      <c r="E377" s="106"/>
      <c r="F377" s="106"/>
      <c r="G377" s="106"/>
      <c r="H377" s="107"/>
      <c r="I377" s="107"/>
      <c r="J377" s="107"/>
      <c r="K377" s="106"/>
      <c r="L377" s="106"/>
      <c r="M377" s="106"/>
      <c r="N377" s="106"/>
      <c r="O377" s="106"/>
      <c r="P377" s="106"/>
      <c r="Q377" s="106"/>
      <c r="R377" s="106"/>
      <c r="S377" s="106"/>
      <c r="T377" s="106"/>
      <c r="U377" s="106"/>
      <c r="V377" s="106"/>
      <c r="W377" s="106"/>
      <c r="X377" s="106"/>
      <c r="Y377" s="106"/>
      <c r="Z377" s="108"/>
      <c r="AA377" s="109"/>
      <c r="AB377" s="61"/>
      <c r="AC377" s="101"/>
      <c r="AD377" s="101" t="s">
        <v>129</v>
      </c>
      <c r="AE377" s="110">
        <f>IF(ISNUMBER(G362),(AG373-AP373)/(2*AE373),0)</f>
        <v>1.3151405346629777E-2</v>
      </c>
      <c r="AF377" s="111"/>
      <c r="AG377" s="65"/>
      <c r="AH377" s="101"/>
      <c r="AI377" s="65"/>
      <c r="AJ377" s="65"/>
      <c r="AK377" s="65"/>
      <c r="AL377" s="65"/>
      <c r="AM377" s="65"/>
      <c r="AN377" s="65"/>
      <c r="AO377" s="65"/>
      <c r="AP377" s="66"/>
      <c r="AQ377" s="65"/>
      <c r="AR377" s="65"/>
      <c r="AS377" s="178" t="str">
        <f>Balance!$G$16</f>
        <v>Heat pump</v>
      </c>
      <c r="AT377" s="66"/>
      <c r="AU377" s="185">
        <f>VLOOKUP(AS377,AS373:AU376,3,0)</f>
        <v>7.7591185920004628</v>
      </c>
      <c r="AV377" s="185">
        <f>VLOOKUP(AS377,AS373:AV376,4,0)</f>
        <v>155.18237184000927</v>
      </c>
      <c r="AW377" s="185"/>
      <c r="AX377" s="187">
        <f ca="1">VLOOKUP(AS377,AS373:AX376,6,0)</f>
        <v>1.4656112896000872</v>
      </c>
      <c r="AY377" s="185">
        <f ca="1">VLOOKUP(AS377,AS373:AY376,7,0)</f>
        <v>29.312225792001744</v>
      </c>
      <c r="AZ377" s="66"/>
      <c r="BA377" s="66"/>
      <c r="BB377" s="66"/>
      <c r="BC377" s="66"/>
      <c r="BD377" s="66"/>
      <c r="BE377" s="66"/>
      <c r="BF377" s="66"/>
      <c r="BG377" s="66"/>
      <c r="BH377" s="66"/>
      <c r="BI377" s="66"/>
      <c r="BJ377" s="66"/>
      <c r="BK377" s="66"/>
      <c r="BL377" s="66"/>
      <c r="BM377" s="66"/>
    </row>
    <row r="378" spans="2:65" outlineLevel="1" x14ac:dyDescent="0.25">
      <c r="B378" s="201"/>
    </row>
    <row r="379" spans="2:65" outlineLevel="1" x14ac:dyDescent="0.25">
      <c r="B379" s="201"/>
      <c r="C379" s="62"/>
      <c r="D379" s="114" t="s">
        <v>131</v>
      </c>
      <c r="E379" s="115" t="s">
        <v>132</v>
      </c>
      <c r="F379" s="115"/>
      <c r="G379" s="63"/>
      <c r="H379" s="63"/>
      <c r="I379" s="63"/>
      <c r="J379" s="63"/>
      <c r="K379" s="63"/>
      <c r="L379" s="63"/>
      <c r="M379" s="63"/>
      <c r="N379" s="63"/>
      <c r="O379" s="63"/>
      <c r="P379" s="63"/>
      <c r="Q379" s="63"/>
      <c r="R379" s="63"/>
      <c r="S379" s="63"/>
      <c r="T379" s="63"/>
      <c r="U379" s="63"/>
      <c r="V379" s="63"/>
      <c r="W379" s="63"/>
      <c r="X379" s="63"/>
      <c r="Y379" s="63"/>
      <c r="Z379" s="63"/>
      <c r="AA379" s="64"/>
      <c r="AB379" s="61"/>
      <c r="AC379" s="65" t="s">
        <v>402</v>
      </c>
      <c r="AD379" s="65"/>
      <c r="AE379" s="65"/>
      <c r="AF379" s="65"/>
      <c r="AG379" s="65"/>
      <c r="AH379" s="65"/>
      <c r="AI379" s="65"/>
      <c r="AJ379" s="65"/>
      <c r="AK379" s="65"/>
      <c r="AL379" s="65"/>
      <c r="AM379" s="65"/>
      <c r="AN379" s="65"/>
      <c r="AO379" s="65"/>
      <c r="AP379" s="65"/>
      <c r="AQ379" s="66"/>
      <c r="AR379" s="65" t="s">
        <v>405</v>
      </c>
      <c r="AS379" s="65"/>
      <c r="AT379" s="65"/>
      <c r="AU379" s="65"/>
      <c r="AV379" s="65"/>
      <c r="AW379" s="65"/>
      <c r="AX379" s="65"/>
      <c r="AY379" s="65"/>
      <c r="AZ379" s="65"/>
      <c r="BA379" s="65"/>
      <c r="BB379" s="65" t="s">
        <v>403</v>
      </c>
      <c r="BC379" s="65"/>
      <c r="BD379" s="65"/>
      <c r="BE379" s="65"/>
      <c r="BF379" s="65"/>
      <c r="BG379" s="65"/>
      <c r="BH379" s="65"/>
      <c r="BI379" s="65"/>
      <c r="BJ379" s="65"/>
      <c r="BK379" s="65"/>
      <c r="BL379" s="65"/>
      <c r="BM379" s="65"/>
    </row>
    <row r="380" spans="2:65" ht="15.75" x14ac:dyDescent="0.25">
      <c r="B380" s="201"/>
      <c r="C380" s="69"/>
      <c r="D380" s="70">
        <v>15</v>
      </c>
      <c r="E380" s="71" t="s">
        <v>982</v>
      </c>
      <c r="F380" s="92"/>
      <c r="G380" s="72"/>
      <c r="H380" s="72"/>
      <c r="I380" s="72"/>
      <c r="J380" s="72"/>
      <c r="K380" s="72"/>
      <c r="L380" s="72"/>
      <c r="M380" s="72"/>
      <c r="N380" s="72"/>
      <c r="O380" s="72"/>
      <c r="P380" s="72"/>
      <c r="Q380" s="72"/>
      <c r="R380" s="72"/>
      <c r="S380" s="72"/>
      <c r="T380" s="72"/>
      <c r="U380" s="72"/>
      <c r="V380" s="72"/>
      <c r="W380" s="72"/>
      <c r="X380" s="72"/>
      <c r="Y380" s="72"/>
      <c r="Z380" s="73"/>
      <c r="AA380" s="75"/>
      <c r="AB380" s="61"/>
      <c r="AC380" s="65"/>
      <c r="AD380" s="65"/>
      <c r="AE380" s="76" t="s">
        <v>114</v>
      </c>
      <c r="AF380" s="65"/>
      <c r="AG380" s="65"/>
      <c r="AH380" s="65"/>
      <c r="AI380" s="65"/>
      <c r="AJ380" s="65"/>
      <c r="AK380" s="65"/>
      <c r="AL380" s="65"/>
      <c r="AM380" s="65"/>
      <c r="AN380" s="65"/>
      <c r="AO380" s="65"/>
      <c r="AP380" s="66"/>
      <c r="AQ380" s="65"/>
      <c r="AR380" s="65" t="s">
        <v>404</v>
      </c>
      <c r="AS380" s="65"/>
      <c r="AT380" s="65"/>
      <c r="AU380" s="65"/>
      <c r="AV380" s="65"/>
      <c r="AW380" s="65"/>
      <c r="AX380" s="65"/>
      <c r="AY380" s="65"/>
      <c r="AZ380" s="65"/>
      <c r="BA380" s="65"/>
      <c r="BB380" s="65" t="s">
        <v>407</v>
      </c>
      <c r="BC380" s="65"/>
      <c r="BD380" s="65"/>
      <c r="BE380" s="65"/>
      <c r="BF380" s="65"/>
      <c r="BG380" s="65"/>
      <c r="BH380" s="65"/>
      <c r="BI380" s="65"/>
      <c r="BJ380" s="65"/>
      <c r="BK380" s="65"/>
      <c r="BL380" s="65"/>
      <c r="BM380" s="65"/>
    </row>
    <row r="381" spans="2:65" outlineLevel="1" x14ac:dyDescent="0.25">
      <c r="B381" s="201"/>
      <c r="C381" s="77"/>
      <c r="D381" s="116" t="s">
        <v>133</v>
      </c>
      <c r="E381" s="78"/>
      <c r="F381" s="78"/>
      <c r="AA381" s="75"/>
      <c r="AB381" s="61"/>
      <c r="AC381" s="65"/>
      <c r="AD381" s="65"/>
      <c r="AE381" s="65"/>
      <c r="AF381" s="65"/>
      <c r="AG381" s="65"/>
      <c r="AH381" s="65"/>
      <c r="AI381" s="65"/>
      <c r="AJ381" s="65"/>
      <c r="AK381" s="65"/>
      <c r="AL381" s="65"/>
      <c r="AM381" s="65"/>
      <c r="AN381" s="65"/>
      <c r="AO381" s="65"/>
      <c r="AP381" s="66"/>
      <c r="AQ381" s="65"/>
      <c r="AR381" s="65"/>
      <c r="AS381" s="65"/>
      <c r="AT381" s="65"/>
      <c r="AU381" s="65"/>
      <c r="AV381" s="65"/>
      <c r="AW381" s="65"/>
      <c r="AX381" s="65"/>
      <c r="AY381" s="65"/>
      <c r="AZ381" s="65"/>
      <c r="BA381" s="65"/>
      <c r="BB381" s="65"/>
      <c r="BC381" s="65"/>
      <c r="BD381" s="65"/>
      <c r="BE381" s="65"/>
      <c r="BF381" s="65"/>
      <c r="BG381" s="65"/>
      <c r="BH381" s="65"/>
      <c r="BI381" s="65"/>
      <c r="BJ381" s="65"/>
      <c r="BK381" s="65"/>
      <c r="BL381" s="65"/>
      <c r="BM381" s="65"/>
    </row>
    <row r="382" spans="2:65" outlineLevel="1" x14ac:dyDescent="0.25">
      <c r="B382" s="201"/>
      <c r="C382" s="77"/>
      <c r="D382" s="79">
        <v>0.13</v>
      </c>
      <c r="E382" s="2" t="s">
        <v>151</v>
      </c>
      <c r="F382" s="138">
        <v>1</v>
      </c>
      <c r="G382" s="61"/>
      <c r="H382" s="74"/>
      <c r="I382" s="74"/>
      <c r="J382" s="74"/>
      <c r="K382" s="2" t="s">
        <v>921</v>
      </c>
      <c r="L382" s="74"/>
      <c r="M382" s="74"/>
      <c r="N382" s="74"/>
      <c r="AA382" s="75"/>
      <c r="AB382" s="61"/>
      <c r="AC382" s="65"/>
      <c r="AD382" s="65"/>
      <c r="AE382" s="65" t="s">
        <v>115</v>
      </c>
      <c r="AF382" s="65"/>
      <c r="AG382" s="65"/>
      <c r="AH382" s="65"/>
      <c r="AI382" s="65" t="s">
        <v>116</v>
      </c>
      <c r="AJ382" s="65"/>
      <c r="AK382" s="65"/>
      <c r="AL382" s="65"/>
      <c r="AM382" s="65"/>
      <c r="AN382" s="65"/>
      <c r="AO382" s="65"/>
      <c r="AP382" s="66"/>
      <c r="AQ382" s="65"/>
      <c r="AR382" s="65"/>
      <c r="AS382" s="65"/>
      <c r="AT382" s="65"/>
      <c r="AU382" s="65"/>
      <c r="AV382" s="65"/>
      <c r="AW382" s="65"/>
      <c r="AX382" s="65"/>
      <c r="AY382" s="65"/>
      <c r="AZ382" s="65"/>
      <c r="BA382" s="65"/>
      <c r="BB382" s="65"/>
      <c r="BC382" s="65"/>
      <c r="BD382" s="65"/>
      <c r="BE382" s="65"/>
      <c r="BF382" s="65"/>
      <c r="BG382" s="65"/>
      <c r="BH382" s="65"/>
      <c r="BI382" s="65"/>
      <c r="BJ382" s="65"/>
      <c r="BK382" s="65"/>
      <c r="BL382" s="65"/>
      <c r="BM382" s="65"/>
    </row>
    <row r="383" spans="2:65" ht="15.75" outlineLevel="1" x14ac:dyDescent="0.25">
      <c r="B383" s="201"/>
      <c r="C383" s="77"/>
      <c r="D383" s="79">
        <v>0.04</v>
      </c>
      <c r="E383" s="2" t="s">
        <v>152</v>
      </c>
      <c r="F383" s="2"/>
      <c r="G383" s="61"/>
      <c r="H383" s="74"/>
      <c r="I383" s="74"/>
      <c r="J383" s="74"/>
      <c r="K383" s="74"/>
      <c r="L383" s="74"/>
      <c r="M383" s="74"/>
      <c r="N383" s="74"/>
      <c r="AA383" s="75"/>
      <c r="AB383" s="61"/>
      <c r="AC383" s="65"/>
      <c r="AD383" s="65"/>
      <c r="AE383" s="80" t="s">
        <v>117</v>
      </c>
      <c r="AF383" s="81"/>
      <c r="AG383" s="81"/>
      <c r="AH383" s="65"/>
      <c r="AI383" s="82" t="s">
        <v>118</v>
      </c>
      <c r="AJ383" s="81"/>
      <c r="AK383" s="81"/>
      <c r="AL383" s="65"/>
      <c r="AM383" s="83" t="s">
        <v>119</v>
      </c>
      <c r="AN383" s="84"/>
      <c r="AO383" s="85"/>
      <c r="AP383" s="65"/>
      <c r="AQ383" s="65"/>
      <c r="AR383" s="65"/>
      <c r="AS383" s="65"/>
      <c r="AT383" s="65"/>
      <c r="AU383" s="65"/>
      <c r="AV383" s="65"/>
      <c r="AW383" s="65"/>
      <c r="AX383" s="65"/>
      <c r="AY383" s="65"/>
      <c r="AZ383" s="65"/>
      <c r="BA383" s="65"/>
      <c r="BB383" s="65"/>
      <c r="BC383" s="65"/>
      <c r="BD383" s="65"/>
      <c r="BE383" s="65"/>
      <c r="BF383" s="65"/>
      <c r="BG383" s="65"/>
      <c r="BH383" s="65"/>
      <c r="BI383" s="65"/>
      <c r="BJ383" s="65"/>
      <c r="BK383" s="65"/>
      <c r="BL383" s="65"/>
      <c r="BM383" s="65"/>
    </row>
    <row r="384" spans="2:65" ht="15.75" outlineLevel="1" x14ac:dyDescent="0.25">
      <c r="B384" s="201"/>
      <c r="C384" s="77"/>
      <c r="D384" s="74"/>
      <c r="E384" s="61"/>
      <c r="F384" s="61"/>
      <c r="G384" s="61"/>
      <c r="H384" s="74"/>
      <c r="I384" s="74"/>
      <c r="J384" s="74"/>
      <c r="K384" s="74"/>
      <c r="L384" s="74"/>
      <c r="M384" s="74"/>
      <c r="N384" s="74"/>
      <c r="O384" s="1"/>
      <c r="P384" s="1"/>
      <c r="Q384" s="1"/>
      <c r="AA384" s="75"/>
      <c r="AB384" s="61"/>
      <c r="AC384" s="65"/>
      <c r="AD384" s="65"/>
      <c r="AE384" s="117"/>
      <c r="AF384" s="117"/>
      <c r="AG384" s="117"/>
      <c r="AH384" s="65"/>
      <c r="AI384" s="118"/>
      <c r="AJ384" s="117"/>
      <c r="AK384" s="117"/>
      <c r="AL384" s="65"/>
      <c r="AM384" s="119"/>
      <c r="AN384" s="119"/>
      <c r="AO384" s="119"/>
      <c r="AP384" s="65"/>
      <c r="AQ384" s="65"/>
      <c r="AR384" s="65"/>
      <c r="AS384" s="65"/>
      <c r="AT384" s="148" t="s">
        <v>351</v>
      </c>
      <c r="AU384" s="65"/>
      <c r="AV384" s="65"/>
      <c r="AW384" s="65"/>
      <c r="AX384" s="148"/>
      <c r="AY384" s="65"/>
      <c r="AZ384" s="65"/>
      <c r="BA384" s="65"/>
      <c r="BB384" s="65"/>
      <c r="BC384" s="148" t="s">
        <v>406</v>
      </c>
      <c r="BD384" s="65"/>
      <c r="BE384" s="65"/>
      <c r="BF384" s="65"/>
      <c r="BG384" s="148"/>
      <c r="BH384" s="65"/>
      <c r="BI384" s="65"/>
      <c r="BJ384" s="65"/>
      <c r="BK384" s="65"/>
      <c r="BL384" s="65"/>
      <c r="BM384" s="65"/>
    </row>
    <row r="385" spans="2:65" ht="22.5" outlineLevel="1" x14ac:dyDescent="0.25">
      <c r="B385" s="201"/>
      <c r="C385" s="77"/>
      <c r="D385" s="121" t="str">
        <f>$D$35</f>
        <v>Area section 1</v>
      </c>
      <c r="E385" s="61"/>
      <c r="F385" s="122" t="str">
        <f>$F$35</f>
        <v>Count?</v>
      </c>
      <c r="G385" s="122" t="str">
        <f>$G$35</f>
        <v>Thermal conductivity</v>
      </c>
      <c r="H385" s="122" t="str">
        <f>$H$35</f>
        <v>Manfacturing energy</v>
      </c>
      <c r="I385" s="122" t="str">
        <f>$I$35</f>
        <v>GWP</v>
      </c>
      <c r="J385" s="122" t="str">
        <f>$J$35</f>
        <v>Service life</v>
      </c>
      <c r="K385" s="121" t="str">
        <f>$K$35</f>
        <v>Area section 2 (optional)</v>
      </c>
      <c r="L385" s="121"/>
      <c r="M385" s="122" t="str">
        <f>$M$35</f>
        <v>Count?</v>
      </c>
      <c r="N385" s="122" t="str">
        <f>$N$35</f>
        <v>Thermal conductivity</v>
      </c>
      <c r="O385" s="122" t="str">
        <f>$O$35</f>
        <v>Manfacturing energy</v>
      </c>
      <c r="P385" s="122" t="str">
        <f>$P$35</f>
        <v>GWP</v>
      </c>
      <c r="Q385" s="122" t="str">
        <f>$Q$35</f>
        <v>Service life</v>
      </c>
      <c r="R385" s="121" t="str">
        <f>$R$35</f>
        <v>Area section 3 (optional)</v>
      </c>
      <c r="S385" s="74"/>
      <c r="T385" s="122" t="str">
        <f>$T$35</f>
        <v>Count?</v>
      </c>
      <c r="U385" s="122" t="str">
        <f>$U$35</f>
        <v>Thermal conductivity</v>
      </c>
      <c r="V385" s="122" t="str">
        <f>$V$35</f>
        <v>Manfacturing energy</v>
      </c>
      <c r="W385" s="122" t="str">
        <f>$W$35</f>
        <v>GWP</v>
      </c>
      <c r="X385" s="122" t="str">
        <f>$X$35</f>
        <v>Service life</v>
      </c>
      <c r="Y385" s="74"/>
      <c r="Z385" s="122" t="str">
        <f>$Z$35</f>
        <v>Thickness</v>
      </c>
      <c r="AA385" s="75"/>
      <c r="AB385" s="61"/>
      <c r="AC385" s="65"/>
      <c r="AD385" s="65"/>
      <c r="AE385" s="86"/>
      <c r="AF385" s="87"/>
      <c r="AG385" s="65"/>
      <c r="AH385" s="65"/>
      <c r="AI385" s="65"/>
      <c r="AJ385" s="65"/>
      <c r="AK385" s="65"/>
      <c r="AL385" s="65"/>
      <c r="AM385" s="65"/>
      <c r="AN385" s="65"/>
      <c r="AO385" s="65"/>
      <c r="AP385" s="65"/>
      <c r="AQ385" s="65"/>
      <c r="AR385" s="65"/>
      <c r="AS385" s="65"/>
      <c r="AT385" s="148"/>
      <c r="AU385" s="65"/>
      <c r="AV385" s="65"/>
      <c r="AW385" s="151" t="s">
        <v>353</v>
      </c>
      <c r="AX385" s="149">
        <f>D395</f>
        <v>1</v>
      </c>
      <c r="AY385" s="150">
        <f>K395</f>
        <v>0</v>
      </c>
      <c r="AZ385" s="150">
        <f>R395</f>
        <v>0</v>
      </c>
      <c r="BA385" s="156">
        <f>SUM(AX385:AZ385)</f>
        <v>1</v>
      </c>
      <c r="BB385" s="65"/>
      <c r="BC385" s="148"/>
      <c r="BD385" s="65"/>
      <c r="BE385" s="65"/>
      <c r="BF385" s="151" t="s">
        <v>353</v>
      </c>
      <c r="BG385" s="149">
        <f>AX385</f>
        <v>1</v>
      </c>
      <c r="BH385" s="149">
        <f t="shared" ref="BH385" si="276">AY385</f>
        <v>0</v>
      </c>
      <c r="BI385" s="149">
        <f t="shared" ref="BI385" si="277">AZ385</f>
        <v>0</v>
      </c>
      <c r="BJ385" s="156">
        <f>SUM(BG385:BI385)</f>
        <v>1</v>
      </c>
      <c r="BK385" s="65"/>
      <c r="BL385" s="65"/>
      <c r="BM385" s="65"/>
    </row>
    <row r="386" spans="2:65" outlineLevel="1" x14ac:dyDescent="0.25">
      <c r="B386" s="201"/>
      <c r="C386" s="77"/>
      <c r="E386" s="61"/>
      <c r="F386" s="120" t="s">
        <v>985</v>
      </c>
      <c r="G386" s="4" t="s">
        <v>135</v>
      </c>
      <c r="H386" s="120" t="s">
        <v>144</v>
      </c>
      <c r="I386" s="120" t="s">
        <v>148</v>
      </c>
      <c r="J386" s="120" t="s">
        <v>146</v>
      </c>
      <c r="K386" s="88"/>
      <c r="L386" s="88"/>
      <c r="M386" s="88"/>
      <c r="N386" s="4" t="s">
        <v>135</v>
      </c>
      <c r="O386" s="120" t="s">
        <v>144</v>
      </c>
      <c r="P386" s="120" t="s">
        <v>148</v>
      </c>
      <c r="Q386" s="120" t="s">
        <v>146</v>
      </c>
      <c r="R386" s="88"/>
      <c r="S386" s="88"/>
      <c r="T386" s="88"/>
      <c r="U386" s="4" t="s">
        <v>135</v>
      </c>
      <c r="V386" s="120" t="s">
        <v>144</v>
      </c>
      <c r="W386" s="120" t="s">
        <v>148</v>
      </c>
      <c r="X386" s="120" t="s">
        <v>146</v>
      </c>
      <c r="Y386" s="74"/>
      <c r="Z386" s="120" t="str">
        <f>$Z$36</f>
        <v>[mm]</v>
      </c>
      <c r="AA386" s="75"/>
      <c r="AB386" s="61"/>
      <c r="AC386" s="65"/>
      <c r="AD386" s="65"/>
      <c r="AE386" s="89" t="s">
        <v>120</v>
      </c>
      <c r="AF386" s="89" t="s">
        <v>121</v>
      </c>
      <c r="AG386" s="89" t="s">
        <v>122</v>
      </c>
      <c r="AH386" s="65"/>
      <c r="AI386" s="89" t="s">
        <v>120</v>
      </c>
      <c r="AJ386" s="89" t="s">
        <v>121</v>
      </c>
      <c r="AK386" s="89" t="s">
        <v>122</v>
      </c>
      <c r="AL386" s="90"/>
      <c r="AM386" s="89" t="s">
        <v>120</v>
      </c>
      <c r="AN386" s="89" t="s">
        <v>121</v>
      </c>
      <c r="AO386" s="89" t="s">
        <v>122</v>
      </c>
      <c r="AP386" s="90" t="s">
        <v>123</v>
      </c>
      <c r="AQ386" s="65"/>
      <c r="AR386" s="65"/>
      <c r="AS386" s="65"/>
      <c r="AT386" s="89" t="s">
        <v>120</v>
      </c>
      <c r="AU386" s="89" t="s">
        <v>121</v>
      </c>
      <c r="AV386" s="89" t="s">
        <v>122</v>
      </c>
      <c r="AW386" s="65"/>
      <c r="AX386" s="89" t="s">
        <v>120</v>
      </c>
      <c r="AY386" s="89" t="s">
        <v>121</v>
      </c>
      <c r="AZ386" s="89" t="s">
        <v>122</v>
      </c>
      <c r="BA386" s="89" t="s">
        <v>354</v>
      </c>
      <c r="BB386" s="65"/>
      <c r="BC386" s="89" t="s">
        <v>120</v>
      </c>
      <c r="BD386" s="89" t="s">
        <v>121</v>
      </c>
      <c r="BE386" s="89" t="s">
        <v>122</v>
      </c>
      <c r="BF386" s="65"/>
      <c r="BG386" s="89" t="s">
        <v>120</v>
      </c>
      <c r="BH386" s="89" t="s">
        <v>121</v>
      </c>
      <c r="BI386" s="89" t="s">
        <v>122</v>
      </c>
      <c r="BJ386" s="89" t="s">
        <v>354</v>
      </c>
      <c r="BK386" s="65"/>
      <c r="BL386" s="65"/>
      <c r="BM386" s="65"/>
    </row>
    <row r="387" spans="2:65" outlineLevel="1" x14ac:dyDescent="0.25">
      <c r="B387" s="201"/>
      <c r="C387" s="91"/>
      <c r="D387" s="418" t="s">
        <v>1023</v>
      </c>
      <c r="E387" s="419"/>
      <c r="F387" s="94">
        <v>1</v>
      </c>
      <c r="G387" s="136">
        <f>IF(ISNUMBER(VLOOKUP(LEFT(D387,3),'Material editor'!$D$11:$H$110,'Material editor'!$E$8,0)),VLOOKUP(LEFT(D387,3),'Material editor'!$D$11:$H$110,'Material editor'!$E$8,0),"")</f>
        <v>0.54</v>
      </c>
      <c r="H387" s="137">
        <f>IF(ISNUMBER(VLOOKUP(LEFT(D387,3),'Material editor'!$D$11:$H$110,'Material editor'!$F$8,0)),VLOOKUP(LEFT(D387,3),'Material editor'!$D$11:$H$110,'Material editor'!$F$8,0),"")</f>
        <v>615.62380504232146</v>
      </c>
      <c r="I387" s="137">
        <f>IF(ISNUMBER(VLOOKUP(LEFT(D387,3),'Material editor'!$D$11:$H$110,'Material editor'!$G$8,0)),VLOOKUP(LEFT(D387,3),'Material editor'!$D$11:$H$110,'Material editor'!$G$8,0),"")</f>
        <v>118.443629056085</v>
      </c>
      <c r="J387" s="137">
        <f>IF(ISNUMBER(VLOOKUP(LEFT(D387,3),'Material editor'!$D$11:$H$110,'Material editor'!$H$8,0)),VLOOKUP(LEFT(D387,3),'Material editor'!$D$11:$H$110,'Material editor'!$H$8,0),"")</f>
        <v>40</v>
      </c>
      <c r="K387" s="418"/>
      <c r="L387" s="407"/>
      <c r="M387" s="94"/>
      <c r="N387" s="136" t="str">
        <f>IF(ISNUMBER(VLOOKUP(LEFT(K387,3),'Material editor'!$D$11:$H$110,'Material editor'!$E$8,0)),VLOOKUP(LEFT(K387,3),'Material editor'!$D$11:$H$110,'Material editor'!$E$8,0),"")</f>
        <v/>
      </c>
      <c r="O387" s="137" t="str">
        <f>IF(ISNUMBER(VLOOKUP(LEFT(K387,3),'Material editor'!$D$11:$H$110,'Material editor'!$F$8,0)),VLOOKUP(LEFT(K387,3),'Material editor'!$D$11:$H$110,'Material editor'!$F$8,0),"")</f>
        <v/>
      </c>
      <c r="P387" s="137" t="str">
        <f>IF(ISNUMBER(VLOOKUP(LEFT(K387,3),'Material editor'!$D$11:$H$110,'Material editor'!$G$8,0)),VLOOKUP(LEFT(K387,3),'Material editor'!$D$11:$H$110,'Material editor'!$G$8,0),"")</f>
        <v/>
      </c>
      <c r="Q387" s="137" t="str">
        <f>IF(ISNUMBER(VLOOKUP(LEFT(K387,3),'Material editor'!$D$11:$H$110,'Material editor'!$H$8,0)),VLOOKUP(LEFT(K387,3),'Material editor'!$D$11:$H$110,'Material editor'!$H$8,0),"")</f>
        <v/>
      </c>
      <c r="R387" s="418"/>
      <c r="S387" s="407"/>
      <c r="T387" s="94"/>
      <c r="U387" s="136" t="str">
        <f>IF(ISNUMBER(VLOOKUP(LEFT(R387,3),'Material editor'!$D$11:$H$110,'Material editor'!$E$8,0)),VLOOKUP(LEFT(R387,3),'Material editor'!$D$11:$H$110,'Material editor'!$E$8,0),"")</f>
        <v/>
      </c>
      <c r="V387" s="137" t="str">
        <f>IF(ISNUMBER(VLOOKUP(LEFT(R387,3),'Material editor'!$D$11:$H$110,'Material editor'!$F$8,0)),VLOOKUP(LEFT(R387,3),'Material editor'!$D$11:$H$110,'Material editor'!$F$8,0),"")</f>
        <v/>
      </c>
      <c r="W387" s="137" t="str">
        <f>IF(ISNUMBER(VLOOKUP(LEFT(R387,3),'Material editor'!$D$11:$H$110,'Material editor'!$G$8,0)),VLOOKUP(LEFT(R387,3),'Material editor'!$D$11:$H$110,'Material editor'!$G$8,0),"")</f>
        <v/>
      </c>
      <c r="X387" s="137" t="str">
        <f>IF(ISNUMBER(VLOOKUP(LEFT(R387,3),'Material editor'!$D$11:$H$110,'Material editor'!$H$8,0)),VLOOKUP(LEFT(R387,3),'Material editor'!$D$11:$H$110,'Material editor'!$H$8,0),"")</f>
        <v/>
      </c>
      <c r="Y387" s="74"/>
      <c r="Z387" s="94">
        <v>15</v>
      </c>
      <c r="AA387" s="8"/>
      <c r="AB387" s="61"/>
      <c r="AC387" s="65"/>
      <c r="AD387" s="65"/>
      <c r="AE387" s="95">
        <f t="shared" ref="AE387:AE394" si="278">IF(ISNUMBER(G387),IF(G387&gt;0,$Z387/1000/G387,0),0)</f>
        <v>2.7777777777777776E-2</v>
      </c>
      <c r="AF387" s="95">
        <f t="shared" ref="AF387:AF394" si="279">IF(ISNUMBER(N387),IF(N387&gt;0,$Z387/1000/N387,0),$AE387)</f>
        <v>2.7777777777777776E-2</v>
      </c>
      <c r="AG387" s="95">
        <f t="shared" ref="AG387:AG394" si="280">IF(ISNUMBER(U387),IF(U387&gt;0,$Z387/1000/U387,0),$AE387)</f>
        <v>2.7777777777777776E-2</v>
      </c>
      <c r="AH387" s="65"/>
      <c r="AI387" s="95">
        <f t="shared" ref="AI387:AI393" si="281">IF(ISNUMBER(G387),G387,0)</f>
        <v>0.54</v>
      </c>
      <c r="AJ387" s="95">
        <f t="shared" ref="AJ387:AJ394" si="282">IF(ISNUMBER(N387),IF(N387&gt;0,N387,0),$AI387)</f>
        <v>0.54</v>
      </c>
      <c r="AK387" s="95">
        <f t="shared" ref="AK387:AK394" si="283">IF(ISNUMBER(U387),IF(U387&gt;0,U387,0),$AI387)</f>
        <v>0.54</v>
      </c>
      <c r="AL387" s="65"/>
      <c r="AM387" s="96">
        <f>AE396</f>
        <v>1</v>
      </c>
      <c r="AN387" s="96">
        <f>AF396</f>
        <v>0</v>
      </c>
      <c r="AO387" s="96">
        <f>AG396</f>
        <v>0</v>
      </c>
      <c r="AP387" s="65">
        <f t="shared" ref="AP387:AP394" si="284">IF(AI387&lt;&gt;0,Z387/1000/SUMPRODUCT(AM387:AO387,AI387:AK387),0)</f>
        <v>2.7777777777777776E-2</v>
      </c>
      <c r="AQ387" s="65"/>
      <c r="AR387" s="65"/>
      <c r="AS387" s="65"/>
      <c r="AT387" s="95">
        <f>IF(ISNUMBER(H387),H387*F387*Z387/1000*Balance!$H$13/J387,0)</f>
        <v>4.6171785378174111</v>
      </c>
      <c r="AU387" s="95">
        <f>IF(ISTEXT(K387),IF(ISNUMBER(O387),O387*M387*Z387/1000*Balance!$H$13/Q387,0),AT387)</f>
        <v>4.6171785378174111</v>
      </c>
      <c r="AV387" s="95">
        <f>IF(ISTEXT(R387),IF(ISNUMBER(V387),V387*T387*Z387/1000*Balance!$H$13/X387,0),AT387)</f>
        <v>4.6171785378174111</v>
      </c>
      <c r="AW387" s="99"/>
      <c r="AX387" s="95">
        <f>AT387*AX385</f>
        <v>4.6171785378174111</v>
      </c>
      <c r="AY387" s="95">
        <f>AU387*AY385</f>
        <v>0</v>
      </c>
      <c r="AZ387" s="95">
        <f>AV387*AZ385</f>
        <v>0</v>
      </c>
      <c r="BA387" s="95">
        <f>SUM(AX387:AZ387)</f>
        <v>4.6171785378174111</v>
      </c>
      <c r="BB387" s="65"/>
      <c r="BC387" s="95">
        <f>IF(ISNUMBER(I387),I387*F387*Z387/1000*Balance!$H$13/J387,0)</f>
        <v>0.88832721792063762</v>
      </c>
      <c r="BD387" s="95">
        <f>IF(ISTEXT(K387),IF(ISNUMBER(P387),P387*M387*Z387/1000*Balance!$H$13/Q387,0),BC387)</f>
        <v>0.88832721792063762</v>
      </c>
      <c r="BE387" s="95">
        <f>IF(ISTEXT(R387),IF(ISNUMBER(W387),W387*T387*Z387/1000*Balance!$H$13/X387,0),BC387)</f>
        <v>0.88832721792063762</v>
      </c>
      <c r="BF387" s="99"/>
      <c r="BG387" s="95">
        <f>BC387*BG385</f>
        <v>0.88832721792063762</v>
      </c>
      <c r="BH387" s="95">
        <f>BD387*BH385</f>
        <v>0</v>
      </c>
      <c r="BI387" s="95">
        <f>BE387*BI385</f>
        <v>0</v>
      </c>
      <c r="BJ387" s="95">
        <f>SUM(BG387:BI387)</f>
        <v>0.88832721792063762</v>
      </c>
      <c r="BK387" s="65"/>
      <c r="BL387" s="65"/>
      <c r="BM387" s="65"/>
    </row>
    <row r="388" spans="2:65" outlineLevel="1" x14ac:dyDescent="0.25">
      <c r="B388" s="201"/>
      <c r="C388" s="91"/>
      <c r="D388" s="418" t="s">
        <v>1025</v>
      </c>
      <c r="E388" s="407"/>
      <c r="F388" s="94">
        <v>1</v>
      </c>
      <c r="G388" s="136">
        <f>IF(ISNUMBER(VLOOKUP(LEFT(D388,3),'Material editor'!$D$11:$H$110,'Material editor'!$E$8,0)),VLOOKUP(LEFT(D388,3),'Material editor'!$D$11:$H$110,'Material editor'!$E$8,0),"")</f>
        <v>1</v>
      </c>
      <c r="H388" s="137">
        <f>IF(ISNUMBER(VLOOKUP(LEFT(D388,3),'Material editor'!$D$11:$H$110,'Material editor'!$F$8,0)),VLOOKUP(LEFT(D388,3),'Material editor'!$D$11:$H$110,'Material editor'!$F$8,0),"")</f>
        <v>614.05957752709162</v>
      </c>
      <c r="I388" s="137">
        <f>IF(ISNUMBER(VLOOKUP(LEFT(D388,3),'Material editor'!$D$11:$H$110,'Material editor'!$G$8,0)),VLOOKUP(LEFT(D388,3),'Material editor'!$D$11:$H$110,'Material editor'!$G$8,0),"")</f>
        <v>302.58299751328502</v>
      </c>
      <c r="J388" s="137">
        <f>IF(ISNUMBER(VLOOKUP(LEFT(D388,3),'Material editor'!$D$11:$H$110,'Material editor'!$H$8,0)),VLOOKUP(LEFT(D388,3),'Material editor'!$D$11:$H$110,'Material editor'!$H$8,0),"")</f>
        <v>80</v>
      </c>
      <c r="K388" s="418"/>
      <c r="L388" s="407"/>
      <c r="M388" s="94"/>
      <c r="N388" s="136" t="str">
        <f>IF(ISNUMBER(VLOOKUP(LEFT(K388,3),'Material editor'!$D$11:$H$110,'Material editor'!$E$8,0)),VLOOKUP(LEFT(K388,3),'Material editor'!$D$11:$H$110,'Material editor'!$E$8,0),"")</f>
        <v/>
      </c>
      <c r="O388" s="137" t="str">
        <f>IF(ISNUMBER(VLOOKUP(LEFT(K388,3),'Material editor'!$D$11:$H$110,'Material editor'!$F$8,0)),VLOOKUP(LEFT(K388,3),'Material editor'!$D$11:$H$110,'Material editor'!$F$8,0),"")</f>
        <v/>
      </c>
      <c r="P388" s="137" t="str">
        <f>IF(ISNUMBER(VLOOKUP(LEFT(K388,3),'Material editor'!$D$11:$H$110,'Material editor'!$G$8,0)),VLOOKUP(LEFT(K388,3),'Material editor'!$D$11:$H$110,'Material editor'!$G$8,0),"")</f>
        <v/>
      </c>
      <c r="Q388" s="137" t="str">
        <f>IF(ISNUMBER(VLOOKUP(LEFT(K388,3),'Material editor'!$D$11:$H$110,'Material editor'!$H$8,0)),VLOOKUP(LEFT(K388,3),'Material editor'!$D$11:$H$110,'Material editor'!$H$8,0),"")</f>
        <v/>
      </c>
      <c r="R388" s="418"/>
      <c r="S388" s="407"/>
      <c r="T388" s="94"/>
      <c r="U388" s="136" t="str">
        <f>IF(ISNUMBER(VLOOKUP(LEFT(R388,3),'Material editor'!$D$11:$H$110,'Material editor'!$E$8,0)),VLOOKUP(LEFT(R388,3),'Material editor'!$D$11:$H$110,'Material editor'!$E$8,0),"")</f>
        <v/>
      </c>
      <c r="V388" s="137" t="str">
        <f>IF(ISNUMBER(VLOOKUP(LEFT(R388,3),'Material editor'!$D$11:$H$110,'Material editor'!$F$8,0)),VLOOKUP(LEFT(R388,3),'Material editor'!$D$11:$H$110,'Material editor'!$F$8,0),"")</f>
        <v/>
      </c>
      <c r="W388" s="137" t="str">
        <f>IF(ISNUMBER(VLOOKUP(LEFT(R388,3),'Material editor'!$D$11:$H$110,'Material editor'!$G$8,0)),VLOOKUP(LEFT(R388,3),'Material editor'!$D$11:$H$110,'Material editor'!$G$8,0),"")</f>
        <v/>
      </c>
      <c r="X388" s="137" t="str">
        <f>IF(ISNUMBER(VLOOKUP(LEFT(R388,3),'Material editor'!$D$11:$H$110,'Material editor'!$H$8,0)),VLOOKUP(LEFT(R388,3),'Material editor'!$D$11:$H$110,'Material editor'!$H$8,0),"")</f>
        <v/>
      </c>
      <c r="Y388" s="74"/>
      <c r="Z388" s="94">
        <v>175</v>
      </c>
      <c r="AA388" s="8"/>
      <c r="AB388" s="61"/>
      <c r="AC388" s="65"/>
      <c r="AD388" s="65"/>
      <c r="AE388" s="95">
        <f t="shared" si="278"/>
        <v>0.17499999999999999</v>
      </c>
      <c r="AF388" s="95">
        <f t="shared" si="279"/>
        <v>0.17499999999999999</v>
      </c>
      <c r="AG388" s="95">
        <f t="shared" si="280"/>
        <v>0.17499999999999999</v>
      </c>
      <c r="AH388" s="65"/>
      <c r="AI388" s="95">
        <f t="shared" si="281"/>
        <v>1</v>
      </c>
      <c r="AJ388" s="95">
        <f t="shared" si="282"/>
        <v>1</v>
      </c>
      <c r="AK388" s="95">
        <f t="shared" si="283"/>
        <v>1</v>
      </c>
      <c r="AL388" s="65"/>
      <c r="AM388" s="96">
        <f t="shared" ref="AM388:AO388" si="285">AM387</f>
        <v>1</v>
      </c>
      <c r="AN388" s="96">
        <f t="shared" si="285"/>
        <v>0</v>
      </c>
      <c r="AO388" s="96">
        <f t="shared" si="285"/>
        <v>0</v>
      </c>
      <c r="AP388" s="65">
        <f t="shared" si="284"/>
        <v>0.17499999999999999</v>
      </c>
      <c r="AQ388" s="65"/>
      <c r="AR388" s="65"/>
      <c r="AS388" s="65"/>
      <c r="AT388" s="95">
        <f>IF(ISNUMBER(H388),H388*F388*Z388/1000*Balance!$H$13/J388,0)</f>
        <v>26.865106516810261</v>
      </c>
      <c r="AU388" s="95">
        <f>IF(ISTEXT(K388),IF(ISNUMBER(O388),O388*M388*Z388/1000*Balance!$H$13/Q388,0),AT388)</f>
        <v>26.865106516810261</v>
      </c>
      <c r="AV388" s="95">
        <f>IF(ISTEXT(R388),IF(ISNUMBER(V388),V388*T388*Z388/1000*Balance!$H$13/X388,0),AT388)</f>
        <v>26.865106516810261</v>
      </c>
      <c r="AW388" s="65"/>
      <c r="AX388" s="95">
        <f>AT388*AX385</f>
        <v>26.865106516810261</v>
      </c>
      <c r="AY388" s="95">
        <f>AU388*AY385</f>
        <v>0</v>
      </c>
      <c r="AZ388" s="95">
        <f>AV388*AZ385</f>
        <v>0</v>
      </c>
      <c r="BA388" s="95">
        <f t="shared" ref="BA388:BA394" si="286">SUM(AX388:AZ388)</f>
        <v>26.865106516810261</v>
      </c>
      <c r="BB388" s="65"/>
      <c r="BC388" s="95">
        <f>IF(ISNUMBER(I388),I388*F388*Z388/1000*Balance!$H$13/J388,0)</f>
        <v>13.238006141206222</v>
      </c>
      <c r="BD388" s="95">
        <f>IF(ISTEXT(K388),IF(ISNUMBER(P388),P388*M388*Z388/1000*Balance!$H$13/Q388,0),BC388)</f>
        <v>13.238006141206222</v>
      </c>
      <c r="BE388" s="95">
        <f>IF(ISTEXT(R388),IF(ISNUMBER(W388),W388*T388*Z388/1000*Balance!$H$13/X388,0),BC388)</f>
        <v>13.238006141206222</v>
      </c>
      <c r="BF388" s="65"/>
      <c r="BG388" s="95">
        <f>BC388*BG385</f>
        <v>13.238006141206222</v>
      </c>
      <c r="BH388" s="95">
        <f>BD388*BH385</f>
        <v>0</v>
      </c>
      <c r="BI388" s="95">
        <f>BE388*BI385</f>
        <v>0</v>
      </c>
      <c r="BJ388" s="95">
        <f t="shared" ref="BJ388:BJ394" si="287">SUM(BG388:BI388)</f>
        <v>13.238006141206222</v>
      </c>
      <c r="BK388" s="65"/>
      <c r="BL388" s="65"/>
      <c r="BM388" s="65"/>
    </row>
    <row r="389" spans="2:65" outlineLevel="1" x14ac:dyDescent="0.25">
      <c r="B389" s="201"/>
      <c r="C389" s="91"/>
      <c r="D389" s="418" t="s">
        <v>1016</v>
      </c>
      <c r="E389" s="407"/>
      <c r="F389" s="94">
        <v>1</v>
      </c>
      <c r="G389" s="136">
        <f>IF(ISNUMBER(VLOOKUP(LEFT(D389,3),'Material editor'!$D$11:$H$110,'Material editor'!$E$8,0)),VLOOKUP(LEFT(D389,3),'Material editor'!$D$11:$H$110,'Material editor'!$E$8,0),"")</f>
        <v>2.1999999999999999E-2</v>
      </c>
      <c r="H389" s="137">
        <f>IF(ISNUMBER(VLOOKUP(LEFT(D389,3),'Material editor'!$D$11:$H$110,'Material editor'!$F$8,0)),VLOOKUP(LEFT(D389,3),'Material editor'!$D$11:$H$110,'Material editor'!$F$8,0),"")</f>
        <v>467.31373173526583</v>
      </c>
      <c r="I389" s="137">
        <f>IF(ISNUMBER(VLOOKUP(LEFT(D389,3),'Material editor'!$D$11:$H$110,'Material editor'!$G$8,0)),VLOOKUP(LEFT(D389,3),'Material editor'!$D$11:$H$110,'Material editor'!$G$8,0),"")</f>
        <v>91.918585561511307</v>
      </c>
      <c r="J389" s="137">
        <f>IF(ISNUMBER(VLOOKUP(LEFT(D389,3),'Material editor'!$D$11:$H$110,'Material editor'!$H$8,0)),VLOOKUP(LEFT(D389,3),'Material editor'!$D$11:$H$110,'Material editor'!$H$8,0),"")</f>
        <v>40</v>
      </c>
      <c r="K389" s="418"/>
      <c r="L389" s="407"/>
      <c r="M389" s="94"/>
      <c r="N389" s="136" t="str">
        <f>IF(ISNUMBER(VLOOKUP(LEFT(K389,3),'Material editor'!$D$11:$H$110,'Material editor'!$E$8,0)),VLOOKUP(LEFT(K389,3),'Material editor'!$D$11:$H$110,'Material editor'!$E$8,0),"")</f>
        <v/>
      </c>
      <c r="O389" s="137" t="str">
        <f>IF(ISNUMBER(VLOOKUP(LEFT(K389,3),'Material editor'!$D$11:$H$110,'Material editor'!$F$8,0)),VLOOKUP(LEFT(K389,3),'Material editor'!$D$11:$H$110,'Material editor'!$F$8,0),"")</f>
        <v/>
      </c>
      <c r="P389" s="137" t="str">
        <f>IF(ISNUMBER(VLOOKUP(LEFT(K389,3),'Material editor'!$D$11:$H$110,'Material editor'!$G$8,0)),VLOOKUP(LEFT(K389,3),'Material editor'!$D$11:$H$110,'Material editor'!$G$8,0),"")</f>
        <v/>
      </c>
      <c r="Q389" s="137" t="str">
        <f>IF(ISNUMBER(VLOOKUP(LEFT(K389,3),'Material editor'!$D$11:$H$110,'Material editor'!$H$8,0)),VLOOKUP(LEFT(K389,3),'Material editor'!$D$11:$H$110,'Material editor'!$H$8,0),"")</f>
        <v/>
      </c>
      <c r="R389" s="418"/>
      <c r="S389" s="407"/>
      <c r="T389" s="94"/>
      <c r="U389" s="136" t="str">
        <f>IF(ISNUMBER(VLOOKUP(LEFT(R389,3),'Material editor'!$D$11:$H$110,'Material editor'!$E$8,0)),VLOOKUP(LEFT(R389,3),'Material editor'!$D$11:$H$110,'Material editor'!$E$8,0),"")</f>
        <v/>
      </c>
      <c r="V389" s="137" t="str">
        <f>IF(ISNUMBER(VLOOKUP(LEFT(R389,3),'Material editor'!$D$11:$H$110,'Material editor'!$F$8,0)),VLOOKUP(LEFT(R389,3),'Material editor'!$D$11:$H$110,'Material editor'!$F$8,0),"")</f>
        <v/>
      </c>
      <c r="W389" s="137" t="str">
        <f>IF(ISNUMBER(VLOOKUP(LEFT(R389,3),'Material editor'!$D$11:$H$110,'Material editor'!$G$8,0)),VLOOKUP(LEFT(R389,3),'Material editor'!$D$11:$H$110,'Material editor'!$G$8,0),"")</f>
        <v/>
      </c>
      <c r="X389" s="137" t="str">
        <f>IF(ISNUMBER(VLOOKUP(LEFT(R389,3),'Material editor'!$D$11:$H$110,'Material editor'!$H$8,0)),VLOOKUP(LEFT(R389,3),'Material editor'!$D$11:$H$110,'Material editor'!$H$8,0),"")</f>
        <v/>
      </c>
      <c r="Y389" s="74"/>
      <c r="Z389" s="94">
        <v>140</v>
      </c>
      <c r="AA389" s="8"/>
      <c r="AB389" s="61"/>
      <c r="AC389" s="65"/>
      <c r="AD389" s="65"/>
      <c r="AE389" s="95">
        <f t="shared" si="278"/>
        <v>6.3636363636363642</v>
      </c>
      <c r="AF389" s="95">
        <f t="shared" si="279"/>
        <v>6.3636363636363642</v>
      </c>
      <c r="AG389" s="95">
        <f t="shared" si="280"/>
        <v>6.3636363636363642</v>
      </c>
      <c r="AH389" s="65"/>
      <c r="AI389" s="95">
        <f t="shared" si="281"/>
        <v>2.1999999999999999E-2</v>
      </c>
      <c r="AJ389" s="95">
        <f t="shared" si="282"/>
        <v>2.1999999999999999E-2</v>
      </c>
      <c r="AK389" s="95">
        <f t="shared" si="283"/>
        <v>2.1999999999999999E-2</v>
      </c>
      <c r="AL389" s="65"/>
      <c r="AM389" s="96">
        <f t="shared" ref="AM389:AO389" si="288">AM388</f>
        <v>1</v>
      </c>
      <c r="AN389" s="96">
        <f t="shared" si="288"/>
        <v>0</v>
      </c>
      <c r="AO389" s="96">
        <f t="shared" si="288"/>
        <v>0</v>
      </c>
      <c r="AP389" s="65">
        <f t="shared" si="284"/>
        <v>6.3636363636363642</v>
      </c>
      <c r="AQ389" s="65"/>
      <c r="AR389" s="65"/>
      <c r="AS389" s="65"/>
      <c r="AT389" s="95">
        <f>IF(ISNUMBER(H389),H389*F389*Z389/1000*Balance!$H$13/J389,0)</f>
        <v>32.711961221468613</v>
      </c>
      <c r="AU389" s="95">
        <f>IF(ISTEXT(K389),IF(ISNUMBER(O389),O389*M389*Z389/1000*Balance!$H$13/Q389,0),AT389)</f>
        <v>32.711961221468613</v>
      </c>
      <c r="AV389" s="95">
        <f>IF(ISTEXT(R389),IF(ISNUMBER(V389),V389*T389*Z389/1000*Balance!$H$13/X389,0),AT389)</f>
        <v>32.711961221468613</v>
      </c>
      <c r="AW389" s="65"/>
      <c r="AX389" s="95">
        <f>AT389*AX385</f>
        <v>32.711961221468613</v>
      </c>
      <c r="AY389" s="95">
        <f>AU389*AY385</f>
        <v>0</v>
      </c>
      <c r="AZ389" s="95">
        <f>AV389*AZ385</f>
        <v>0</v>
      </c>
      <c r="BA389" s="95">
        <f t="shared" si="286"/>
        <v>32.711961221468613</v>
      </c>
      <c r="BB389" s="65"/>
      <c r="BC389" s="95">
        <f>IF(ISNUMBER(I389),I389*F389*Z389/1000*Balance!$H$13/J389,0)</f>
        <v>6.4343009893057914</v>
      </c>
      <c r="BD389" s="95">
        <f>IF(ISTEXT(K389),IF(ISNUMBER(P389),P389*M389*Z389/1000*Balance!$H$13/Q389,0),BC389)</f>
        <v>6.4343009893057914</v>
      </c>
      <c r="BE389" s="95">
        <f>IF(ISTEXT(R389),IF(ISNUMBER(W389),W389*T389*Z389/1000*Balance!$H$13/X389,0),BC389)</f>
        <v>6.4343009893057914</v>
      </c>
      <c r="BF389" s="65"/>
      <c r="BG389" s="95">
        <f>BC389*BG385</f>
        <v>6.4343009893057914</v>
      </c>
      <c r="BH389" s="95">
        <f>BD389*BH385</f>
        <v>0</v>
      </c>
      <c r="BI389" s="95">
        <f>BE389*BI385</f>
        <v>0</v>
      </c>
      <c r="BJ389" s="95">
        <f t="shared" si="287"/>
        <v>6.4343009893057914</v>
      </c>
      <c r="BK389" s="65"/>
      <c r="BL389" s="65"/>
      <c r="BM389" s="65"/>
    </row>
    <row r="390" spans="2:65" outlineLevel="1" x14ac:dyDescent="0.25">
      <c r="B390" s="201"/>
      <c r="C390" s="91"/>
      <c r="D390" s="418" t="s">
        <v>1026</v>
      </c>
      <c r="E390" s="419"/>
      <c r="F390" s="94">
        <v>1</v>
      </c>
      <c r="G390" s="136">
        <f>IF(ISNUMBER(VLOOKUP(LEFT(D390,3),'Material editor'!$D$11:$H$110,'Material editor'!$E$8,0)),VLOOKUP(LEFT(D390,3),'Material editor'!$D$11:$H$110,'Material editor'!$E$8,0),"")</f>
        <v>0.7</v>
      </c>
      <c r="H390" s="137">
        <f>IF(ISNUMBER(VLOOKUP(LEFT(D390,3),'Material editor'!$D$11:$H$110,'Material editor'!$F$8,0)),VLOOKUP(LEFT(D390,3),'Material editor'!$D$11:$H$110,'Material editor'!$F$8,0),"")</f>
        <v>496.23211201094273</v>
      </c>
      <c r="I390" s="137">
        <f>IF(ISNUMBER(VLOOKUP(LEFT(D390,3),'Material editor'!$D$11:$H$110,'Material editor'!$G$8,0)),VLOOKUP(LEFT(D390,3),'Material editor'!$D$11:$H$110,'Material editor'!$G$8,0),"")</f>
        <v>103.94883076360401</v>
      </c>
      <c r="J390" s="137">
        <f>IF(ISNUMBER(VLOOKUP(LEFT(D390,3),'Material editor'!$D$11:$H$110,'Material editor'!$H$8,0)),VLOOKUP(LEFT(D390,3),'Material editor'!$D$11:$H$110,'Material editor'!$H$8,0),"")</f>
        <v>40</v>
      </c>
      <c r="K390" s="418"/>
      <c r="L390" s="407"/>
      <c r="M390" s="94"/>
      <c r="N390" s="136" t="str">
        <f>IF(ISNUMBER(VLOOKUP(LEFT(K390,3),'Material editor'!$D$11:$H$110,'Material editor'!$E$8,0)),VLOOKUP(LEFT(K390,3),'Material editor'!$D$11:$H$110,'Material editor'!$E$8,0),"")</f>
        <v/>
      </c>
      <c r="O390" s="137" t="str">
        <f>IF(ISNUMBER(VLOOKUP(LEFT(K390,3),'Material editor'!$D$11:$H$110,'Material editor'!$F$8,0)),VLOOKUP(LEFT(K390,3),'Material editor'!$D$11:$H$110,'Material editor'!$F$8,0),"")</f>
        <v/>
      </c>
      <c r="P390" s="137" t="str">
        <f>IF(ISNUMBER(VLOOKUP(LEFT(K390,3),'Material editor'!$D$11:$H$110,'Material editor'!$G$8,0)),VLOOKUP(LEFT(K390,3),'Material editor'!$D$11:$H$110,'Material editor'!$G$8,0),"")</f>
        <v/>
      </c>
      <c r="Q390" s="137" t="str">
        <f>IF(ISNUMBER(VLOOKUP(LEFT(K390,3),'Material editor'!$D$11:$H$110,'Material editor'!$H$8,0)),VLOOKUP(LEFT(K390,3),'Material editor'!$D$11:$H$110,'Material editor'!$H$8,0),"")</f>
        <v/>
      </c>
      <c r="R390" s="418"/>
      <c r="S390" s="407"/>
      <c r="T390" s="94"/>
      <c r="U390" s="136" t="str">
        <f>IF(ISNUMBER(VLOOKUP(LEFT(R390,3),'Material editor'!$D$11:$H$110,'Material editor'!$E$8,0)),VLOOKUP(LEFT(R390,3),'Material editor'!$D$11:$H$110,'Material editor'!$E$8,0),"")</f>
        <v/>
      </c>
      <c r="V390" s="137" t="str">
        <f>IF(ISNUMBER(VLOOKUP(LEFT(R390,3),'Material editor'!$D$11:$H$110,'Material editor'!$F$8,0)),VLOOKUP(LEFT(R390,3),'Material editor'!$D$11:$H$110,'Material editor'!$F$8,0),"")</f>
        <v/>
      </c>
      <c r="W390" s="137" t="str">
        <f>IF(ISNUMBER(VLOOKUP(LEFT(R390,3),'Material editor'!$D$11:$H$110,'Material editor'!$G$8,0)),VLOOKUP(LEFT(R390,3),'Material editor'!$D$11:$H$110,'Material editor'!$G$8,0),"")</f>
        <v/>
      </c>
      <c r="X390" s="137" t="str">
        <f>IF(ISNUMBER(VLOOKUP(LEFT(R390,3),'Material editor'!$D$11:$H$110,'Material editor'!$H$8,0)),VLOOKUP(LEFT(R390,3),'Material editor'!$D$11:$H$110,'Material editor'!$H$8,0),"")</f>
        <v/>
      </c>
      <c r="Y390" s="74"/>
      <c r="Z390" s="94">
        <v>4</v>
      </c>
      <c r="AA390" s="8"/>
      <c r="AB390" s="61"/>
      <c r="AC390" s="65"/>
      <c r="AD390" s="65"/>
      <c r="AE390" s="95">
        <f t="shared" si="278"/>
        <v>5.7142857142857151E-3</v>
      </c>
      <c r="AF390" s="95">
        <f t="shared" si="279"/>
        <v>5.7142857142857151E-3</v>
      </c>
      <c r="AG390" s="95">
        <f t="shared" si="280"/>
        <v>5.7142857142857151E-3</v>
      </c>
      <c r="AH390" s="65"/>
      <c r="AI390" s="95">
        <f t="shared" si="281"/>
        <v>0.7</v>
      </c>
      <c r="AJ390" s="95">
        <f t="shared" si="282"/>
        <v>0.7</v>
      </c>
      <c r="AK390" s="95">
        <f t="shared" si="283"/>
        <v>0.7</v>
      </c>
      <c r="AL390" s="65"/>
      <c r="AM390" s="96">
        <f t="shared" ref="AM390:AO390" si="289">AM389</f>
        <v>1</v>
      </c>
      <c r="AN390" s="96">
        <f t="shared" si="289"/>
        <v>0</v>
      </c>
      <c r="AO390" s="96">
        <f t="shared" si="289"/>
        <v>0</v>
      </c>
      <c r="AP390" s="65">
        <f t="shared" si="284"/>
        <v>5.7142857142857151E-3</v>
      </c>
      <c r="AQ390" s="65"/>
      <c r="AR390" s="65"/>
      <c r="AS390" s="65"/>
      <c r="AT390" s="95">
        <f>IF(ISNUMBER(H390),H390*F390*Z390/1000*Balance!$H$13/J390,0)</f>
        <v>0.9924642240218855</v>
      </c>
      <c r="AU390" s="95">
        <f>IF(ISTEXT(K390),IF(ISNUMBER(O390),O390*M390*Z390/1000*Balance!$H$13/Q390,0),AT390)</f>
        <v>0.9924642240218855</v>
      </c>
      <c r="AV390" s="95">
        <f>IF(ISTEXT(R390),IF(ISNUMBER(V390),V390*T390*Z390/1000*Balance!$H$13/X390,0),AT390)</f>
        <v>0.9924642240218855</v>
      </c>
      <c r="AW390" s="65"/>
      <c r="AX390" s="95">
        <f>AT390*AX385</f>
        <v>0.9924642240218855</v>
      </c>
      <c r="AY390" s="95">
        <f>AU390*AY385</f>
        <v>0</v>
      </c>
      <c r="AZ390" s="95">
        <f>AV390*AZ385</f>
        <v>0</v>
      </c>
      <c r="BA390" s="95">
        <f t="shared" si="286"/>
        <v>0.9924642240218855</v>
      </c>
      <c r="BB390" s="65"/>
      <c r="BC390" s="95">
        <f>IF(ISNUMBER(I390),I390*F390*Z390/1000*Balance!$H$13/J390,0)</f>
        <v>0.20789766152720804</v>
      </c>
      <c r="BD390" s="95">
        <f>IF(ISTEXT(K390),IF(ISNUMBER(P390),P390*M390*Z390/1000*Balance!$H$13/Q390,0),BC390)</f>
        <v>0.20789766152720804</v>
      </c>
      <c r="BE390" s="95">
        <f>IF(ISTEXT(R390),IF(ISNUMBER(W390),W390*T390*Z390/1000*Balance!$H$13/X390,0),BC390)</f>
        <v>0.20789766152720804</v>
      </c>
      <c r="BF390" s="65"/>
      <c r="BG390" s="95">
        <f>BC390*BG385</f>
        <v>0.20789766152720804</v>
      </c>
      <c r="BH390" s="95">
        <f>BD390*BH385</f>
        <v>0</v>
      </c>
      <c r="BI390" s="95">
        <f>BE390*BI385</f>
        <v>0</v>
      </c>
      <c r="BJ390" s="95">
        <f t="shared" si="287"/>
        <v>0.20789766152720804</v>
      </c>
      <c r="BK390" s="65"/>
      <c r="BL390" s="65"/>
      <c r="BM390" s="65"/>
    </row>
    <row r="391" spans="2:65" outlineLevel="1" x14ac:dyDescent="0.25">
      <c r="B391" s="201"/>
      <c r="C391" s="91"/>
      <c r="D391" s="418" t="s">
        <v>1027</v>
      </c>
      <c r="E391" s="419"/>
      <c r="F391" s="94">
        <v>1</v>
      </c>
      <c r="G391" s="136">
        <f>IF(ISNUMBER(VLOOKUP(LEFT(D391,3),'Material editor'!$D$11:$H$110,'Material editor'!$E$8,0)),VLOOKUP(LEFT(D391,3),'Material editor'!$D$11:$H$110,'Material editor'!$E$8,0),"")</f>
        <v>1</v>
      </c>
      <c r="H391" s="137">
        <f>IF(ISNUMBER(VLOOKUP(LEFT(D391,3),'Material editor'!$D$11:$H$110,'Material editor'!$F$8,0)),VLOOKUP(LEFT(D391,3),'Material editor'!$D$11:$H$110,'Material editor'!$F$8,0),"")</f>
        <v>905.22046069906946</v>
      </c>
      <c r="I391" s="137">
        <f>IF(ISNUMBER(VLOOKUP(LEFT(D391,3),'Material editor'!$D$11:$H$110,'Material editor'!$G$8,0)),VLOOKUP(LEFT(D391,3),'Material editor'!$D$11:$H$110,'Material editor'!$G$8,0),"")</f>
        <v>354.91241395986202</v>
      </c>
      <c r="J391" s="137">
        <f>IF(ISNUMBER(VLOOKUP(LEFT(D391,3),'Material editor'!$D$11:$H$110,'Material editor'!$H$8,0)),VLOOKUP(LEFT(D391,3),'Material editor'!$D$11:$H$110,'Material editor'!$H$8,0),"")</f>
        <v>40</v>
      </c>
      <c r="K391" s="418"/>
      <c r="L391" s="407"/>
      <c r="M391" s="94"/>
      <c r="N391" s="136" t="str">
        <f>IF(ISNUMBER(VLOOKUP(LEFT(K391,3),'Material editor'!$D$11:$H$110,'Material editor'!$E$8,0)),VLOOKUP(LEFT(K391,3),'Material editor'!$D$11:$H$110,'Material editor'!$E$8,0),"")</f>
        <v/>
      </c>
      <c r="O391" s="137" t="str">
        <f>IF(ISNUMBER(VLOOKUP(LEFT(K391,3),'Material editor'!$D$11:$H$110,'Material editor'!$F$8,0)),VLOOKUP(LEFT(K391,3),'Material editor'!$D$11:$H$110,'Material editor'!$F$8,0),"")</f>
        <v/>
      </c>
      <c r="P391" s="137" t="str">
        <f>IF(ISNUMBER(VLOOKUP(LEFT(K391,3),'Material editor'!$D$11:$H$110,'Material editor'!$G$8,0)),VLOOKUP(LEFT(K391,3),'Material editor'!$D$11:$H$110,'Material editor'!$G$8,0),"")</f>
        <v/>
      </c>
      <c r="Q391" s="137" t="str">
        <f>IF(ISNUMBER(VLOOKUP(LEFT(K391,3),'Material editor'!$D$11:$H$110,'Material editor'!$H$8,0)),VLOOKUP(LEFT(K391,3),'Material editor'!$D$11:$H$110,'Material editor'!$H$8,0),"")</f>
        <v/>
      </c>
      <c r="R391" s="418"/>
      <c r="S391" s="407"/>
      <c r="T391" s="94"/>
      <c r="U391" s="136" t="str">
        <f>IF(ISNUMBER(VLOOKUP(LEFT(R391,3),'Material editor'!$D$11:$H$110,'Material editor'!$E$8,0)),VLOOKUP(LEFT(R391,3),'Material editor'!$D$11:$H$110,'Material editor'!$E$8,0),"")</f>
        <v/>
      </c>
      <c r="V391" s="137" t="str">
        <f>IF(ISNUMBER(VLOOKUP(LEFT(R391,3),'Material editor'!$D$11:$H$110,'Material editor'!$F$8,0)),VLOOKUP(LEFT(R391,3),'Material editor'!$D$11:$H$110,'Material editor'!$F$8,0),"")</f>
        <v/>
      </c>
      <c r="W391" s="137" t="str">
        <f>IF(ISNUMBER(VLOOKUP(LEFT(R391,3),'Material editor'!$D$11:$H$110,'Material editor'!$G$8,0)),VLOOKUP(LEFT(R391,3),'Material editor'!$D$11:$H$110,'Material editor'!$G$8,0),"")</f>
        <v/>
      </c>
      <c r="X391" s="137" t="str">
        <f>IF(ISNUMBER(VLOOKUP(LEFT(R391,3),'Material editor'!$D$11:$H$110,'Material editor'!$H$8,0)),VLOOKUP(LEFT(R391,3),'Material editor'!$D$11:$H$110,'Material editor'!$H$8,0),"")</f>
        <v/>
      </c>
      <c r="Y391" s="74"/>
      <c r="Z391" s="94">
        <v>20</v>
      </c>
      <c r="AA391" s="8"/>
      <c r="AB391" s="61"/>
      <c r="AC391" s="65"/>
      <c r="AD391" s="65"/>
      <c r="AE391" s="95">
        <f t="shared" si="278"/>
        <v>0.02</v>
      </c>
      <c r="AF391" s="95">
        <f t="shared" si="279"/>
        <v>0.02</v>
      </c>
      <c r="AG391" s="95">
        <f t="shared" si="280"/>
        <v>0.02</v>
      </c>
      <c r="AH391" s="65"/>
      <c r="AI391" s="95">
        <f t="shared" si="281"/>
        <v>1</v>
      </c>
      <c r="AJ391" s="95">
        <f t="shared" si="282"/>
        <v>1</v>
      </c>
      <c r="AK391" s="95">
        <f t="shared" si="283"/>
        <v>1</v>
      </c>
      <c r="AL391" s="65"/>
      <c r="AM391" s="96">
        <f t="shared" ref="AM391:AO391" si="290">AM390</f>
        <v>1</v>
      </c>
      <c r="AN391" s="96">
        <f t="shared" si="290"/>
        <v>0</v>
      </c>
      <c r="AO391" s="96">
        <f t="shared" si="290"/>
        <v>0</v>
      </c>
      <c r="AP391" s="65">
        <f t="shared" si="284"/>
        <v>0.02</v>
      </c>
      <c r="AQ391" s="65"/>
      <c r="AR391" s="65"/>
      <c r="AS391" s="65"/>
      <c r="AT391" s="95">
        <f>IF(ISNUMBER(H391),H391*F391*Z391/1000*Balance!$H$13/J391,0)</f>
        <v>9.0522046069906938</v>
      </c>
      <c r="AU391" s="95">
        <f>IF(ISTEXT(K391),IF(ISNUMBER(O391),O391*M391*Z391/1000*Balance!$H$13/Q391,0),AT391)</f>
        <v>9.0522046069906938</v>
      </c>
      <c r="AV391" s="95">
        <f>IF(ISTEXT(R391),IF(ISNUMBER(V391),V391*T391*Z391/1000*Balance!$H$13/X391,0),AT391)</f>
        <v>9.0522046069906938</v>
      </c>
      <c r="AW391" s="65"/>
      <c r="AX391" s="95">
        <f>AT391*AX385</f>
        <v>9.0522046069906938</v>
      </c>
      <c r="AY391" s="95">
        <f>AU391*AY385</f>
        <v>0</v>
      </c>
      <c r="AZ391" s="95">
        <f>AV391*AZ385</f>
        <v>0</v>
      </c>
      <c r="BA391" s="95">
        <f t="shared" si="286"/>
        <v>9.0522046069906938</v>
      </c>
      <c r="BB391" s="65"/>
      <c r="BC391" s="95">
        <f>IF(ISNUMBER(I391),I391*F391*Z391/1000*Balance!$H$13/J391,0)</f>
        <v>3.5491241395986202</v>
      </c>
      <c r="BD391" s="95">
        <f>IF(ISTEXT(K391),IF(ISNUMBER(P391),P391*M391*Z391/1000*Balance!$H$13/Q391,0),BC391)</f>
        <v>3.5491241395986202</v>
      </c>
      <c r="BE391" s="95">
        <f>IF(ISTEXT(R391),IF(ISNUMBER(W391),W391*T391*Z391/1000*Balance!$H$13/X391,0),BC391)</f>
        <v>3.5491241395986202</v>
      </c>
      <c r="BF391" s="65"/>
      <c r="BG391" s="95">
        <f>BC391*BG385</f>
        <v>3.5491241395986202</v>
      </c>
      <c r="BH391" s="95">
        <f>BD391*BH385</f>
        <v>0</v>
      </c>
      <c r="BI391" s="95">
        <f>BE391*BI385</f>
        <v>0</v>
      </c>
      <c r="BJ391" s="95">
        <f t="shared" si="287"/>
        <v>3.5491241395986202</v>
      </c>
      <c r="BK391" s="65"/>
      <c r="BL391" s="65"/>
      <c r="BM391" s="65"/>
    </row>
    <row r="392" spans="2:65" outlineLevel="1" x14ac:dyDescent="0.25">
      <c r="B392" s="201"/>
      <c r="C392" s="91"/>
      <c r="D392" s="418"/>
      <c r="E392" s="407"/>
      <c r="F392" s="94"/>
      <c r="G392" s="136" t="str">
        <f>IF(ISNUMBER(VLOOKUP(LEFT(D392,3),'Material editor'!$D$11:$H$110,'Material editor'!$E$8,0)),VLOOKUP(LEFT(D392,3),'Material editor'!$D$11:$H$110,'Material editor'!$E$8,0),"")</f>
        <v/>
      </c>
      <c r="H392" s="137" t="str">
        <f>IF(ISNUMBER(VLOOKUP(LEFT(D392,3),'Material editor'!$D$11:$H$110,'Material editor'!$F$8,0)),VLOOKUP(LEFT(D392,3),'Material editor'!$D$11:$H$110,'Material editor'!$F$8,0),"")</f>
        <v/>
      </c>
      <c r="I392" s="137" t="str">
        <f>IF(ISNUMBER(VLOOKUP(LEFT(D392,3),'Material editor'!$D$11:$H$110,'Material editor'!$G$8,0)),VLOOKUP(LEFT(D392,3),'Material editor'!$D$11:$H$110,'Material editor'!$G$8,0),"")</f>
        <v/>
      </c>
      <c r="J392" s="137" t="str">
        <f>IF(ISNUMBER(VLOOKUP(LEFT(D392,3),'Material editor'!$D$11:$H$110,'Material editor'!$H$8,0)),VLOOKUP(LEFT(D392,3),'Material editor'!$D$11:$H$110,'Material editor'!$H$8,0),"")</f>
        <v/>
      </c>
      <c r="K392" s="418"/>
      <c r="L392" s="407"/>
      <c r="M392" s="94"/>
      <c r="N392" s="136" t="str">
        <f>IF(ISNUMBER(VLOOKUP(LEFT(K392,3),'Material editor'!$D$11:$H$110,'Material editor'!$E$8,0)),VLOOKUP(LEFT(K392,3),'Material editor'!$D$11:$H$110,'Material editor'!$E$8,0),"")</f>
        <v/>
      </c>
      <c r="O392" s="137" t="str">
        <f>IF(ISNUMBER(VLOOKUP(LEFT(K392,3),'Material editor'!$D$11:$H$110,'Material editor'!$F$8,0)),VLOOKUP(LEFT(K392,3),'Material editor'!$D$11:$H$110,'Material editor'!$F$8,0),"")</f>
        <v/>
      </c>
      <c r="P392" s="137" t="str">
        <f>IF(ISNUMBER(VLOOKUP(LEFT(K392,3),'Material editor'!$D$11:$H$110,'Material editor'!$G$8,0)),VLOOKUP(LEFT(K392,3),'Material editor'!$D$11:$H$110,'Material editor'!$G$8,0),"")</f>
        <v/>
      </c>
      <c r="Q392" s="137" t="str">
        <f>IF(ISNUMBER(VLOOKUP(LEFT(K392,3),'Material editor'!$D$11:$H$110,'Material editor'!$H$8,0)),VLOOKUP(LEFT(K392,3),'Material editor'!$D$11:$H$110,'Material editor'!$H$8,0),"")</f>
        <v/>
      </c>
      <c r="R392" s="418"/>
      <c r="S392" s="407"/>
      <c r="T392" s="94"/>
      <c r="U392" s="136" t="str">
        <f>IF(ISNUMBER(VLOOKUP(LEFT(R392,3),'Material editor'!$D$11:$H$110,'Material editor'!$E$8,0)),VLOOKUP(LEFT(R392,3),'Material editor'!$D$11:$H$110,'Material editor'!$E$8,0),"")</f>
        <v/>
      </c>
      <c r="V392" s="137" t="str">
        <f>IF(ISNUMBER(VLOOKUP(LEFT(R392,3),'Material editor'!$D$11:$H$110,'Material editor'!$F$8,0)),VLOOKUP(LEFT(R392,3),'Material editor'!$D$11:$H$110,'Material editor'!$F$8,0),"")</f>
        <v/>
      </c>
      <c r="W392" s="137" t="str">
        <f>IF(ISNUMBER(VLOOKUP(LEFT(R392,3),'Material editor'!$D$11:$H$110,'Material editor'!$G$8,0)),VLOOKUP(LEFT(R392,3),'Material editor'!$D$11:$H$110,'Material editor'!$G$8,0),"")</f>
        <v/>
      </c>
      <c r="X392" s="137" t="str">
        <f>IF(ISNUMBER(VLOOKUP(LEFT(R392,3),'Material editor'!$D$11:$H$110,'Material editor'!$H$8,0)),VLOOKUP(LEFT(R392,3),'Material editor'!$D$11:$H$110,'Material editor'!$H$8,0),"")</f>
        <v/>
      </c>
      <c r="Y392" s="74"/>
      <c r="Z392" s="94"/>
      <c r="AA392" s="8"/>
      <c r="AB392" s="61"/>
      <c r="AC392" s="65"/>
      <c r="AD392" s="65"/>
      <c r="AE392" s="95">
        <f t="shared" si="278"/>
        <v>0</v>
      </c>
      <c r="AF392" s="95">
        <f t="shared" si="279"/>
        <v>0</v>
      </c>
      <c r="AG392" s="95">
        <f t="shared" si="280"/>
        <v>0</v>
      </c>
      <c r="AH392" s="65"/>
      <c r="AI392" s="95">
        <f t="shared" si="281"/>
        <v>0</v>
      </c>
      <c r="AJ392" s="95">
        <f t="shared" si="282"/>
        <v>0</v>
      </c>
      <c r="AK392" s="95">
        <f t="shared" si="283"/>
        <v>0</v>
      </c>
      <c r="AL392" s="65"/>
      <c r="AM392" s="96">
        <f t="shared" ref="AM392:AO392" si="291">AM391</f>
        <v>1</v>
      </c>
      <c r="AN392" s="96">
        <f t="shared" si="291"/>
        <v>0</v>
      </c>
      <c r="AO392" s="96">
        <f t="shared" si="291"/>
        <v>0</v>
      </c>
      <c r="AP392" s="65">
        <f t="shared" si="284"/>
        <v>0</v>
      </c>
      <c r="AQ392" s="65"/>
      <c r="AR392" s="65"/>
      <c r="AS392" s="66"/>
      <c r="AT392" s="95">
        <f>IF(ISNUMBER(H392),H392*F392*Z392/1000*Balance!$H$13/J392,0)</f>
        <v>0</v>
      </c>
      <c r="AU392" s="95">
        <f>IF(ISTEXT(K392),IF(ISNUMBER(O392),O392*M392*Z392/1000*Balance!$H$13/Q392,0),AT392)</f>
        <v>0</v>
      </c>
      <c r="AV392" s="95">
        <f>IF(ISTEXT(R392),IF(ISNUMBER(V392),V392*T392*Z392/1000*Balance!$H$13/X392,0),AT392)</f>
        <v>0</v>
      </c>
      <c r="AW392" s="66"/>
      <c r="AX392" s="95">
        <f>AT392*AX385</f>
        <v>0</v>
      </c>
      <c r="AY392" s="95">
        <f>AU392*AY385</f>
        <v>0</v>
      </c>
      <c r="AZ392" s="95">
        <f>AV392*AZ385</f>
        <v>0</v>
      </c>
      <c r="BA392" s="95">
        <f t="shared" si="286"/>
        <v>0</v>
      </c>
      <c r="BB392" s="66"/>
      <c r="BC392" s="95">
        <f>IF(ISNUMBER(I392),I392*F392*Z392/1000*Balance!$H$13/J392,0)</f>
        <v>0</v>
      </c>
      <c r="BD392" s="95">
        <f>IF(ISTEXT(K392),IF(ISNUMBER(P392),P392*M392*Z392/1000*Balance!$H$13/Q392,0),BC392)</f>
        <v>0</v>
      </c>
      <c r="BE392" s="95">
        <f>IF(ISTEXT(R392),IF(ISNUMBER(W392),W392*T392*Z392/1000*Balance!$H$13/X392,0),BC392)</f>
        <v>0</v>
      </c>
      <c r="BF392" s="66"/>
      <c r="BG392" s="95">
        <f>BC392*BG385</f>
        <v>0</v>
      </c>
      <c r="BH392" s="95">
        <f>BD392*BH385</f>
        <v>0</v>
      </c>
      <c r="BI392" s="95">
        <f>BE392*BI385</f>
        <v>0</v>
      </c>
      <c r="BJ392" s="95">
        <f t="shared" si="287"/>
        <v>0</v>
      </c>
      <c r="BK392" s="66"/>
      <c r="BL392" s="66"/>
      <c r="BM392" s="66"/>
    </row>
    <row r="393" spans="2:65" outlineLevel="1" x14ac:dyDescent="0.25">
      <c r="B393" s="201"/>
      <c r="C393" s="91"/>
      <c r="D393" s="418"/>
      <c r="E393" s="407"/>
      <c r="F393" s="94"/>
      <c r="G393" s="136" t="str">
        <f>IF(ISNUMBER(VLOOKUP(LEFT(D393,3),'Material editor'!$D$11:$H$110,'Material editor'!$E$8,0)),VLOOKUP(LEFT(D393,3),'Material editor'!$D$11:$H$110,'Material editor'!$E$8,0),"")</f>
        <v/>
      </c>
      <c r="H393" s="137" t="str">
        <f>IF(ISNUMBER(VLOOKUP(LEFT(D393,3),'Material editor'!$D$11:$H$110,'Material editor'!$F$8,0)),VLOOKUP(LEFT(D393,3),'Material editor'!$D$11:$H$110,'Material editor'!$F$8,0),"")</f>
        <v/>
      </c>
      <c r="I393" s="137" t="str">
        <f>IF(ISNUMBER(VLOOKUP(LEFT(D393,3),'Material editor'!$D$11:$H$110,'Material editor'!$G$8,0)),VLOOKUP(LEFT(D393,3),'Material editor'!$D$11:$H$110,'Material editor'!$G$8,0),"")</f>
        <v/>
      </c>
      <c r="J393" s="137" t="str">
        <f>IF(ISNUMBER(VLOOKUP(LEFT(D393,3),'Material editor'!$D$11:$H$110,'Material editor'!$H$8,0)),VLOOKUP(LEFT(D393,3),'Material editor'!$D$11:$H$110,'Material editor'!$H$8,0),"")</f>
        <v/>
      </c>
      <c r="K393" s="418"/>
      <c r="L393" s="407"/>
      <c r="M393" s="94"/>
      <c r="N393" s="136" t="str">
        <f>IF(ISNUMBER(VLOOKUP(LEFT(K393,3),'Material editor'!$D$11:$H$110,'Material editor'!$E$8,0)),VLOOKUP(LEFT(K393,3),'Material editor'!$D$11:$H$110,'Material editor'!$E$8,0),"")</f>
        <v/>
      </c>
      <c r="O393" s="137" t="str">
        <f>IF(ISNUMBER(VLOOKUP(LEFT(K393,3),'Material editor'!$D$11:$H$110,'Material editor'!$F$8,0)),VLOOKUP(LEFT(K393,3),'Material editor'!$D$11:$H$110,'Material editor'!$F$8,0),"")</f>
        <v/>
      </c>
      <c r="P393" s="137" t="str">
        <f>IF(ISNUMBER(VLOOKUP(LEFT(K393,3),'Material editor'!$D$11:$H$110,'Material editor'!$G$8,0)),VLOOKUP(LEFT(K393,3),'Material editor'!$D$11:$H$110,'Material editor'!$G$8,0),"")</f>
        <v/>
      </c>
      <c r="Q393" s="137" t="str">
        <f>IF(ISNUMBER(VLOOKUP(LEFT(K393,3),'Material editor'!$D$11:$H$110,'Material editor'!$H$8,0)),VLOOKUP(LEFT(K393,3),'Material editor'!$D$11:$H$110,'Material editor'!$H$8,0),"")</f>
        <v/>
      </c>
      <c r="R393" s="418"/>
      <c r="S393" s="407"/>
      <c r="T393" s="94"/>
      <c r="U393" s="136" t="str">
        <f>IF(ISNUMBER(VLOOKUP(LEFT(R393,3),'Material editor'!$D$11:$H$110,'Material editor'!$E$8,0)),VLOOKUP(LEFT(R393,3),'Material editor'!$D$11:$H$110,'Material editor'!$E$8,0),"")</f>
        <v/>
      </c>
      <c r="V393" s="137" t="str">
        <f>IF(ISNUMBER(VLOOKUP(LEFT(R393,3),'Material editor'!$D$11:$H$110,'Material editor'!$F$8,0)),VLOOKUP(LEFT(R393,3),'Material editor'!$D$11:$H$110,'Material editor'!$F$8,0),"")</f>
        <v/>
      </c>
      <c r="W393" s="137" t="str">
        <f>IF(ISNUMBER(VLOOKUP(LEFT(R393,3),'Material editor'!$D$11:$H$110,'Material editor'!$G$8,0)),VLOOKUP(LEFT(R393,3),'Material editor'!$D$11:$H$110,'Material editor'!$G$8,0),"")</f>
        <v/>
      </c>
      <c r="X393" s="137" t="str">
        <f>IF(ISNUMBER(VLOOKUP(LEFT(R393,3),'Material editor'!$D$11:$H$110,'Material editor'!$H$8,0)),VLOOKUP(LEFT(R393,3),'Material editor'!$D$11:$H$110,'Material editor'!$H$8,0),"")</f>
        <v/>
      </c>
      <c r="Y393" s="74"/>
      <c r="Z393" s="94"/>
      <c r="AA393" s="8"/>
      <c r="AB393" s="61"/>
      <c r="AC393" s="65"/>
      <c r="AD393" s="65"/>
      <c r="AE393" s="95">
        <f t="shared" si="278"/>
        <v>0</v>
      </c>
      <c r="AF393" s="95">
        <f t="shared" si="279"/>
        <v>0</v>
      </c>
      <c r="AG393" s="95">
        <f t="shared" si="280"/>
        <v>0</v>
      </c>
      <c r="AH393" s="65"/>
      <c r="AI393" s="95">
        <f t="shared" si="281"/>
        <v>0</v>
      </c>
      <c r="AJ393" s="95">
        <f t="shared" si="282"/>
        <v>0</v>
      </c>
      <c r="AK393" s="95">
        <f t="shared" si="283"/>
        <v>0</v>
      </c>
      <c r="AL393" s="65"/>
      <c r="AM393" s="96">
        <f t="shared" ref="AM393:AO393" si="292">AM392</f>
        <v>1</v>
      </c>
      <c r="AN393" s="96">
        <f t="shared" si="292"/>
        <v>0</v>
      </c>
      <c r="AO393" s="96">
        <f t="shared" si="292"/>
        <v>0</v>
      </c>
      <c r="AP393" s="65">
        <f t="shared" si="284"/>
        <v>0</v>
      </c>
      <c r="AQ393" s="65"/>
      <c r="AR393" s="65"/>
      <c r="AS393" s="66"/>
      <c r="AT393" s="95">
        <f>IF(ISNUMBER(H393),H393*F393*Z393/1000*Balance!$H$13/J393,0)</f>
        <v>0</v>
      </c>
      <c r="AU393" s="95">
        <f>IF(ISTEXT(K393),IF(ISNUMBER(O393),O393*M393*Z393/1000*Balance!$H$13/Q393,0),AT393)</f>
        <v>0</v>
      </c>
      <c r="AV393" s="95">
        <f>IF(ISTEXT(R393),IF(ISNUMBER(V393),V393*T393*Z393/1000*Balance!$H$13/X393,0),AT393)</f>
        <v>0</v>
      </c>
      <c r="AW393" s="66"/>
      <c r="AX393" s="95">
        <f>AT393*AX385</f>
        <v>0</v>
      </c>
      <c r="AY393" s="95">
        <f>AU393*AY385</f>
        <v>0</v>
      </c>
      <c r="AZ393" s="95">
        <f>AV393*AZ385</f>
        <v>0</v>
      </c>
      <c r="BA393" s="95">
        <f t="shared" si="286"/>
        <v>0</v>
      </c>
      <c r="BB393" s="66"/>
      <c r="BC393" s="95">
        <f>IF(ISNUMBER(I393),I393*F393*Z393/1000*Balance!$H$13/J393,0)</f>
        <v>0</v>
      </c>
      <c r="BD393" s="95">
        <f>IF(ISTEXT(K393),IF(ISNUMBER(P393),P393*M393*Z393/1000*Balance!$H$13/Q393,0),BC393)</f>
        <v>0</v>
      </c>
      <c r="BE393" s="95">
        <f>IF(ISTEXT(R393),IF(ISNUMBER(W393),W393*T393*Z393/1000*Balance!$H$13/X393,0),BC393)</f>
        <v>0</v>
      </c>
      <c r="BF393" s="66"/>
      <c r="BG393" s="95">
        <f>BC393*BG385</f>
        <v>0</v>
      </c>
      <c r="BH393" s="95">
        <f>BD393*BH385</f>
        <v>0</v>
      </c>
      <c r="BI393" s="95">
        <f>BE393*BI385</f>
        <v>0</v>
      </c>
      <c r="BJ393" s="95">
        <f t="shared" si="287"/>
        <v>0</v>
      </c>
      <c r="BK393" s="66"/>
      <c r="BL393" s="66"/>
      <c r="BM393" s="66"/>
    </row>
    <row r="394" spans="2:65" outlineLevel="1" x14ac:dyDescent="0.25">
      <c r="B394" s="201"/>
      <c r="C394" s="91"/>
      <c r="D394" s="418"/>
      <c r="E394" s="407"/>
      <c r="F394" s="94"/>
      <c r="G394" s="136" t="str">
        <f>IF(ISNUMBER(VLOOKUP(LEFT(D394,3),'Material editor'!$D$11:$H$110,'Material editor'!$E$8,0)),VLOOKUP(LEFT(D394,3),'Material editor'!$D$11:$H$110,'Material editor'!$E$8,0),"")</f>
        <v/>
      </c>
      <c r="H394" s="137" t="str">
        <f>IF(ISNUMBER(VLOOKUP(LEFT(D394,3),'Material editor'!$D$11:$H$110,'Material editor'!$F$8,0)),VLOOKUP(LEFT(D394,3),'Material editor'!$D$11:$H$110,'Material editor'!$F$8,0),"")</f>
        <v/>
      </c>
      <c r="I394" s="137" t="str">
        <f>IF(ISNUMBER(VLOOKUP(LEFT(D394,3),'Material editor'!$D$11:$H$110,'Material editor'!$G$8,0)),VLOOKUP(LEFT(D394,3),'Material editor'!$D$11:$H$110,'Material editor'!$G$8,0),"")</f>
        <v/>
      </c>
      <c r="J394" s="137" t="str">
        <f>IF(ISNUMBER(VLOOKUP(LEFT(D394,3),'Material editor'!$D$11:$H$110,'Material editor'!$H$8,0)),VLOOKUP(LEFT(D394,3),'Material editor'!$D$11:$H$110,'Material editor'!$H$8,0),"")</f>
        <v/>
      </c>
      <c r="K394" s="418"/>
      <c r="L394" s="407"/>
      <c r="M394" s="94"/>
      <c r="N394" s="136" t="str">
        <f>IF(ISNUMBER(VLOOKUP(LEFT(K394,3),'Material editor'!$D$11:$H$110,'Material editor'!$E$8,0)),VLOOKUP(LEFT(K394,3),'Material editor'!$D$11:$H$110,'Material editor'!$E$8,0),"")</f>
        <v/>
      </c>
      <c r="O394" s="137" t="str">
        <f>IF(ISNUMBER(VLOOKUP(LEFT(K394,3),'Material editor'!$D$11:$H$110,'Material editor'!$F$8,0)),VLOOKUP(LEFT(K394,3),'Material editor'!$D$11:$H$110,'Material editor'!$F$8,0),"")</f>
        <v/>
      </c>
      <c r="P394" s="137" t="str">
        <f>IF(ISNUMBER(VLOOKUP(LEFT(K394,3),'Material editor'!$D$11:$H$110,'Material editor'!$G$8,0)),VLOOKUP(LEFT(K394,3),'Material editor'!$D$11:$H$110,'Material editor'!$G$8,0),"")</f>
        <v/>
      </c>
      <c r="Q394" s="137" t="str">
        <f>IF(ISNUMBER(VLOOKUP(LEFT(K394,3),'Material editor'!$D$11:$H$110,'Material editor'!$H$8,0)),VLOOKUP(LEFT(K394,3),'Material editor'!$D$11:$H$110,'Material editor'!$H$8,0),"")</f>
        <v/>
      </c>
      <c r="R394" s="418"/>
      <c r="S394" s="407"/>
      <c r="T394" s="94"/>
      <c r="U394" s="136" t="str">
        <f>IF(ISNUMBER(VLOOKUP(LEFT(R394,3),'Material editor'!$D$11:$H$110,'Material editor'!$E$8,0)),VLOOKUP(LEFT(R394,3),'Material editor'!$D$11:$H$110,'Material editor'!$E$8,0),"")</f>
        <v/>
      </c>
      <c r="V394" s="137" t="str">
        <f>IF(ISNUMBER(VLOOKUP(LEFT(R394,3),'Material editor'!$D$11:$H$110,'Material editor'!$F$8,0)),VLOOKUP(LEFT(R394,3),'Material editor'!$D$11:$H$110,'Material editor'!$F$8,0),"")</f>
        <v/>
      </c>
      <c r="W394" s="137" t="str">
        <f>IF(ISNUMBER(VLOOKUP(LEFT(R394,3),'Material editor'!$D$11:$H$110,'Material editor'!$G$8,0)),VLOOKUP(LEFT(R394,3),'Material editor'!$D$11:$H$110,'Material editor'!$G$8,0),"")</f>
        <v/>
      </c>
      <c r="X394" s="137" t="str">
        <f>IF(ISNUMBER(VLOOKUP(LEFT(R394,3),'Material editor'!$D$11:$H$110,'Material editor'!$H$8,0)),VLOOKUP(LEFT(R394,3),'Material editor'!$D$11:$H$110,'Material editor'!$H$8,0),"")</f>
        <v/>
      </c>
      <c r="Y394" s="74"/>
      <c r="Z394" s="94"/>
      <c r="AA394" s="8"/>
      <c r="AB394" s="61"/>
      <c r="AC394" s="65"/>
      <c r="AD394" s="65"/>
      <c r="AE394" s="95">
        <f t="shared" si="278"/>
        <v>0</v>
      </c>
      <c r="AF394" s="95">
        <f t="shared" si="279"/>
        <v>0</v>
      </c>
      <c r="AG394" s="95">
        <f t="shared" si="280"/>
        <v>0</v>
      </c>
      <c r="AH394" s="65"/>
      <c r="AI394" s="95">
        <f>IF(ISNUMBER(G394),G394,0)</f>
        <v>0</v>
      </c>
      <c r="AJ394" s="95">
        <f t="shared" si="282"/>
        <v>0</v>
      </c>
      <c r="AK394" s="95">
        <f t="shared" si="283"/>
        <v>0</v>
      </c>
      <c r="AL394" s="65"/>
      <c r="AM394" s="96">
        <f t="shared" ref="AM394:AO394" si="293">AM393</f>
        <v>1</v>
      </c>
      <c r="AN394" s="96">
        <f t="shared" si="293"/>
        <v>0</v>
      </c>
      <c r="AO394" s="96">
        <f t="shared" si="293"/>
        <v>0</v>
      </c>
      <c r="AP394" s="65">
        <f t="shared" si="284"/>
        <v>0</v>
      </c>
      <c r="AQ394" s="65"/>
      <c r="AR394" s="65"/>
      <c r="AS394" s="66"/>
      <c r="AT394" s="95">
        <f>IF(ISNUMBER(H394),H394*F394*Z394/1000*Balance!$H$13/J394,0)</f>
        <v>0</v>
      </c>
      <c r="AU394" s="95">
        <f>IF(ISTEXT(K394),IF(ISNUMBER(O394),O394*M394*Z394/1000*Balance!$H$13/Q394,0),AT394)</f>
        <v>0</v>
      </c>
      <c r="AV394" s="95">
        <f>IF(ISTEXT(R394),IF(ISNUMBER(V394),V394*T394*Z394/1000*Balance!$H$13/X394,0),AT394)</f>
        <v>0</v>
      </c>
      <c r="AW394" s="66"/>
      <c r="AX394" s="95">
        <f>AT394*AX385</f>
        <v>0</v>
      </c>
      <c r="AY394" s="95">
        <f>AU394*AY385</f>
        <v>0</v>
      </c>
      <c r="AZ394" s="95">
        <f>AV394*AZ385</f>
        <v>0</v>
      </c>
      <c r="BA394" s="95">
        <f t="shared" si="286"/>
        <v>0</v>
      </c>
      <c r="BB394" s="66"/>
      <c r="BC394" s="95">
        <f>IF(ISNUMBER(I394),I394*F394*Z394/1000*Balance!$H$13/J394,0)</f>
        <v>0</v>
      </c>
      <c r="BD394" s="95">
        <f>IF(ISTEXT(K394),IF(ISNUMBER(P394),P394*M394*Z394/1000*Balance!$H$13/Q394,0),BC394)</f>
        <v>0</v>
      </c>
      <c r="BE394" s="95">
        <f>IF(ISTEXT(R394),IF(ISNUMBER(W394),W394*T394*Z394/1000*Balance!$H$13/X394,0),BC394)</f>
        <v>0</v>
      </c>
      <c r="BF394" s="66"/>
      <c r="BG394" s="95">
        <f>BC394*BG385</f>
        <v>0</v>
      </c>
      <c r="BH394" s="95">
        <f>BD394*BH385</f>
        <v>0</v>
      </c>
      <c r="BI394" s="95">
        <f>BE394*BI385</f>
        <v>0</v>
      </c>
      <c r="BJ394" s="95">
        <f t="shared" si="287"/>
        <v>0</v>
      </c>
      <c r="BK394" s="66"/>
      <c r="BL394" s="66"/>
      <c r="BM394" s="66"/>
    </row>
    <row r="395" spans="2:65" outlineLevel="1" x14ac:dyDescent="0.25">
      <c r="B395" s="201"/>
      <c r="C395" s="77"/>
      <c r="D395" s="125">
        <f>MAX(0,1-K395-R395)</f>
        <v>1</v>
      </c>
      <c r="E395" s="126" t="s">
        <v>141</v>
      </c>
      <c r="F395" s="126"/>
      <c r="H395" s="97"/>
      <c r="I395" s="97"/>
      <c r="J395" s="97"/>
      <c r="K395" s="100"/>
      <c r="L395" s="126" t="s">
        <v>138</v>
      </c>
      <c r="M395" s="126"/>
      <c r="R395" s="100"/>
      <c r="S395" s="126" t="s">
        <v>139</v>
      </c>
      <c r="T395" s="126"/>
      <c r="V395" s="67"/>
      <c r="Y395" s="74"/>
      <c r="Z395" s="5" t="s">
        <v>140</v>
      </c>
      <c r="AA395" s="8"/>
      <c r="AB395" s="61"/>
      <c r="AC395" s="98"/>
      <c r="AD395" s="98" t="s">
        <v>124</v>
      </c>
      <c r="AE395" s="99">
        <f>IF(ISNUMBER($G387),1/($D382+SUM(AE387:AE394)+$D383),0)</f>
        <v>0.14788243239926976</v>
      </c>
      <c r="AF395" s="99">
        <f>IF(ISNUMBER($G387),1/($D382+SUM(AF387:AF394)+$D383),0)</f>
        <v>0.14788243239926976</v>
      </c>
      <c r="AG395" s="99">
        <f>IF(ISNUMBER($G387),1/($D382+SUM(AG387:AG394)+$D383),0)</f>
        <v>0.14788243239926976</v>
      </c>
      <c r="AH395" s="65"/>
      <c r="AI395" s="65"/>
      <c r="AJ395" s="65"/>
      <c r="AK395" s="65"/>
      <c r="AL395" s="65"/>
      <c r="AM395" s="65"/>
      <c r="AN395" s="65"/>
      <c r="AO395" s="65"/>
      <c r="AP395" s="65"/>
      <c r="AQ395" s="65"/>
      <c r="AR395" s="65"/>
      <c r="AS395" s="66"/>
      <c r="AT395" s="66"/>
      <c r="AU395" s="66"/>
      <c r="AV395" s="66"/>
      <c r="AW395" s="66"/>
      <c r="AX395" s="66"/>
      <c r="AY395" s="66"/>
      <c r="AZ395" s="66"/>
      <c r="BA395" s="66"/>
      <c r="BB395" s="66"/>
      <c r="BC395" s="66"/>
      <c r="BD395" s="66"/>
      <c r="BE395" s="66"/>
      <c r="BF395" s="66"/>
      <c r="BG395" s="66"/>
      <c r="BH395" s="66"/>
      <c r="BI395" s="66"/>
      <c r="BJ395" s="66"/>
      <c r="BK395" s="66"/>
      <c r="BL395" s="66"/>
      <c r="BM395" s="66"/>
    </row>
    <row r="396" spans="2:65" outlineLevel="1" x14ac:dyDescent="0.25">
      <c r="B396" s="201"/>
      <c r="C396" s="77"/>
      <c r="D396" s="41"/>
      <c r="E396" s="116" t="s">
        <v>150</v>
      </c>
      <c r="F396" s="116"/>
      <c r="H396" s="68"/>
      <c r="I396" s="68"/>
      <c r="J396" s="68"/>
      <c r="K396" s="157" t="str">
        <f>IF(AE402&lt;=0.1,"","Der Fehler der U-Wert-Berechnung liegt möglicherweise über 10 %. Wärmebrückenberechnung?")</f>
        <v/>
      </c>
      <c r="L396" s="68"/>
      <c r="M396" s="68"/>
      <c r="N396" s="68"/>
      <c r="R396" s="5"/>
      <c r="S396" s="5"/>
      <c r="T396" s="5"/>
      <c r="U396" s="68"/>
      <c r="V396" s="68"/>
      <c r="X396" s="68"/>
      <c r="Y396" s="5"/>
      <c r="Z396" s="189">
        <f>IF(ISNUMBER(Z387),SUM(Z387:Z395)/10,"")</f>
        <v>35.4</v>
      </c>
      <c r="AA396" s="10" t="s">
        <v>8</v>
      </c>
      <c r="AB396" s="61"/>
      <c r="AC396" s="98"/>
      <c r="AD396" s="98" t="s">
        <v>125</v>
      </c>
      <c r="AE396" s="101">
        <f>1-SUM(AF396:AG396)</f>
        <v>1</v>
      </c>
      <c r="AF396" s="102">
        <f>K395</f>
        <v>0</v>
      </c>
      <c r="AG396" s="102">
        <f>R395</f>
        <v>0</v>
      </c>
      <c r="AH396" s="98"/>
      <c r="AI396" s="65"/>
      <c r="AJ396" s="65"/>
      <c r="AK396" s="65"/>
      <c r="AL396" s="65"/>
      <c r="AM396" s="65"/>
      <c r="AN396" s="65"/>
      <c r="AO396" s="65"/>
      <c r="AP396" s="65"/>
      <c r="AQ396" s="65"/>
      <c r="AR396" s="65" t="s">
        <v>393</v>
      </c>
      <c r="AS396" s="148"/>
      <c r="AT396" s="175" t="s">
        <v>393</v>
      </c>
      <c r="AU396" s="65" t="s">
        <v>366</v>
      </c>
      <c r="AV396" s="65" t="s">
        <v>355</v>
      </c>
      <c r="AW396" s="66"/>
      <c r="AX396" s="65" t="s">
        <v>394</v>
      </c>
      <c r="AY396" s="65" t="s">
        <v>356</v>
      </c>
      <c r="AZ396" s="66"/>
      <c r="BA396" s="66"/>
      <c r="BB396" s="66"/>
      <c r="BC396" s="66"/>
      <c r="BD396" s="66"/>
      <c r="BE396" s="66"/>
      <c r="BF396" s="66"/>
      <c r="BG396" s="66"/>
      <c r="BH396" s="66"/>
      <c r="BI396" s="66"/>
      <c r="BJ396" s="66"/>
      <c r="BK396" s="66"/>
      <c r="BL396" s="66"/>
      <c r="BM396" s="66"/>
    </row>
    <row r="397" spans="2:65" outlineLevel="1" x14ac:dyDescent="0.25">
      <c r="B397" s="201"/>
      <c r="C397" s="77"/>
      <c r="D397" s="68"/>
      <c r="E397" s="68"/>
      <c r="F397" s="68"/>
      <c r="G397" s="68"/>
      <c r="H397" s="68"/>
      <c r="I397" s="68"/>
      <c r="J397" s="68"/>
      <c r="K397" s="68"/>
      <c r="L397" s="68"/>
      <c r="M397" s="68"/>
      <c r="N397" s="68"/>
      <c r="O397" s="68"/>
      <c r="P397" s="68"/>
      <c r="Q397" s="68"/>
      <c r="R397" s="68"/>
      <c r="T397" s="68"/>
      <c r="U397" s="68"/>
      <c r="V397" s="68"/>
      <c r="W397" s="68"/>
      <c r="X397" s="68"/>
      <c r="Y397" s="5"/>
      <c r="Z397" s="67"/>
      <c r="AA397" s="8"/>
      <c r="AB397" s="61"/>
      <c r="AC397" s="101"/>
      <c r="AD397" s="101"/>
      <c r="AE397" s="99"/>
      <c r="AF397" s="99"/>
      <c r="AG397" s="99"/>
      <c r="AH397" s="65"/>
      <c r="AI397" s="65"/>
      <c r="AJ397" s="65"/>
      <c r="AK397" s="65"/>
      <c r="AL397" s="65"/>
      <c r="AM397" s="65"/>
      <c r="AN397" s="65"/>
      <c r="AO397" s="65"/>
      <c r="AP397" s="65"/>
      <c r="AQ397" s="65"/>
      <c r="AR397" s="65"/>
      <c r="AS397" s="65"/>
      <c r="AT397" s="101" t="s">
        <v>367</v>
      </c>
      <c r="AU397" s="176">
        <f>Z398*F382*Balance!$H$6</f>
        <v>11.682712159542312</v>
      </c>
      <c r="AV397" s="176">
        <f>AU397*Balance!$H$13</f>
        <v>233.65424319084624</v>
      </c>
      <c r="AW397" s="66"/>
      <c r="AX397" s="66"/>
      <c r="AY397" s="66"/>
      <c r="AZ397" s="66"/>
      <c r="BA397" s="101" t="s">
        <v>351</v>
      </c>
      <c r="BB397" s="66"/>
      <c r="BC397" s="66"/>
      <c r="BD397" s="66"/>
      <c r="BE397" s="66"/>
      <c r="BF397" s="66"/>
      <c r="BG397" s="66"/>
      <c r="BH397" s="66"/>
      <c r="BI397" s="66"/>
      <c r="BJ397" s="66"/>
      <c r="BK397" s="66"/>
      <c r="BL397" s="66"/>
      <c r="BM397" s="66"/>
    </row>
    <row r="398" spans="2:65" ht="18" outlineLevel="1" x14ac:dyDescent="0.35">
      <c r="B398" s="201"/>
      <c r="C398" s="77"/>
      <c r="H398" s="68"/>
      <c r="I398" s="68"/>
      <c r="J398" s="67"/>
      <c r="K398" s="192" t="s">
        <v>397</v>
      </c>
      <c r="L398" s="67"/>
      <c r="M398" s="67"/>
      <c r="N398" s="67"/>
      <c r="O398" s="67"/>
      <c r="P398" s="67"/>
      <c r="Q398" s="67"/>
      <c r="R398" s="14" t="s">
        <v>398</v>
      </c>
      <c r="U398" s="68"/>
      <c r="V398" s="68"/>
      <c r="W398" s="68"/>
      <c r="X398" s="68"/>
      <c r="Y398" s="127" t="s">
        <v>154</v>
      </c>
      <c r="Z398" s="193">
        <f>IF(ISNUMBER(G387),IF(AE402&lt;0.1,1/AE398,1/(AP398*1.1))+D396,"")</f>
        <v>0.14788243239926976</v>
      </c>
      <c r="AA398" s="8" t="s">
        <v>10</v>
      </c>
      <c r="AB398" s="61"/>
      <c r="AC398" s="101"/>
      <c r="AD398" s="101" t="s">
        <v>126</v>
      </c>
      <c r="AE398" s="95">
        <f>IF(ISNUMBER(G387),AVERAGE(AG398,AP398),0)</f>
        <v>6.7621284271284274</v>
      </c>
      <c r="AF398" s="101" t="s">
        <v>127</v>
      </c>
      <c r="AG398" s="95">
        <f>IF(ISNUMBER(G387),1/SUMPRODUCT(AE396:AG396,AE395:AG395),0)</f>
        <v>6.7621284271284274</v>
      </c>
      <c r="AH398" s="65"/>
      <c r="AI398" s="65"/>
      <c r="AJ398" s="65"/>
      <c r="AK398" s="65"/>
      <c r="AL398" s="103"/>
      <c r="AM398" s="65"/>
      <c r="AN398" s="65"/>
      <c r="AO398" s="101" t="s">
        <v>128</v>
      </c>
      <c r="AP398" s="95">
        <f>$D382+SUM(AP387:AP394)+$D383</f>
        <v>6.7621284271284265</v>
      </c>
      <c r="AQ398" s="65"/>
      <c r="AR398" s="65"/>
      <c r="AS398" s="152" t="str">
        <f>Data!$D$4</f>
        <v>Heat pump</v>
      </c>
      <c r="AT398" s="177" t="s">
        <v>374</v>
      </c>
      <c r="AU398" s="179">
        <f>AU397/(Balance!$H$17*Balance!$H$18*Balance!$H$19)*Balance!$H$22</f>
        <v>7.7884747730282076</v>
      </c>
      <c r="AV398" s="176">
        <f>AU398*Balance!$H$13</f>
        <v>155.76949546056414</v>
      </c>
      <c r="AW398" s="66"/>
      <c r="AX398" s="186">
        <f ca="1">AU397/(Balance!$H$17*Balance!$H$18*Balance!$H$19)*Balance!$G$22/1000</f>
        <v>1.4711563460164394</v>
      </c>
      <c r="AY398" s="176">
        <f ca="1">AX398*Balance!$H$13</f>
        <v>29.423126920328787</v>
      </c>
      <c r="AZ398" s="101"/>
      <c r="BA398" s="95">
        <f>SUM(BA387:BA394)</f>
        <v>74.23891510710888</v>
      </c>
      <c r="BB398" s="66" t="s">
        <v>355</v>
      </c>
      <c r="BC398" s="66"/>
      <c r="BD398" s="66"/>
      <c r="BE398" s="66"/>
      <c r="BF398" s="66"/>
      <c r="BG398" s="66"/>
      <c r="BH398" s="66"/>
      <c r="BI398" s="101" t="s">
        <v>149</v>
      </c>
      <c r="BJ398" s="95">
        <f>SUM(BJ387:BJ394)</f>
        <v>24.317656149558481</v>
      </c>
      <c r="BK398" s="66" t="s">
        <v>357</v>
      </c>
      <c r="BL398" s="66"/>
      <c r="BM398" s="66"/>
    </row>
    <row r="399" spans="2:65" ht="15.75" outlineLevel="1" x14ac:dyDescent="0.25">
      <c r="B399" s="201"/>
      <c r="C399" s="77"/>
      <c r="D399" s="155"/>
      <c r="E399" s="188" t="s">
        <v>395</v>
      </c>
      <c r="F399" s="116"/>
      <c r="H399" s="68"/>
      <c r="I399" s="68"/>
      <c r="J399" s="67"/>
      <c r="K399" s="190">
        <f>BA398</f>
        <v>74.23891510710888</v>
      </c>
      <c r="L399" s="128" t="s">
        <v>400</v>
      </c>
      <c r="M399" s="67"/>
      <c r="N399" s="67"/>
      <c r="O399" s="67"/>
      <c r="P399" s="67"/>
      <c r="Q399" s="67"/>
      <c r="R399" s="190">
        <f>BJ398</f>
        <v>24.317656149558481</v>
      </c>
      <c r="S399" s="128" t="s">
        <v>399</v>
      </c>
      <c r="U399" s="68"/>
      <c r="V399" s="68"/>
      <c r="W399" s="68"/>
      <c r="X399" s="68"/>
      <c r="Y399" s="67"/>
      <c r="Z399" s="67"/>
      <c r="AA399" s="8"/>
      <c r="AB399" s="61"/>
      <c r="AC399" s="101"/>
      <c r="AD399" s="101"/>
      <c r="AE399" s="154"/>
      <c r="AF399" s="101"/>
      <c r="AG399" s="154"/>
      <c r="AH399" s="65"/>
      <c r="AI399" s="65"/>
      <c r="AJ399" s="65"/>
      <c r="AK399" s="65"/>
      <c r="AL399" s="103"/>
      <c r="AM399" s="65"/>
      <c r="AN399" s="65"/>
      <c r="AO399" s="101"/>
      <c r="AP399" s="154"/>
      <c r="AQ399" s="65"/>
      <c r="AR399" s="65"/>
      <c r="AS399" s="152" t="str">
        <f>Data!$D$5</f>
        <v>Direct electric</v>
      </c>
      <c r="AT399" s="177" t="s">
        <v>374</v>
      </c>
      <c r="AU399" s="179">
        <f>AU397/Balance!$H$18*Balance!$H$22</f>
        <v>21.028881887176162</v>
      </c>
      <c r="AV399" s="176">
        <f>AU399*Balance!$H$13</f>
        <v>420.57763774352327</v>
      </c>
      <c r="AW399" s="66"/>
      <c r="AX399" s="186">
        <f ca="1">AU397/Balance!$H$18*Balance!$G$22/1000</f>
        <v>3.972122134244386</v>
      </c>
      <c r="AY399" s="176">
        <f ca="1">AX399*Balance!$H$13</f>
        <v>79.442442684887723</v>
      </c>
      <c r="AZ399" s="101"/>
      <c r="BA399" s="154"/>
      <c r="BB399" s="66"/>
      <c r="BC399" s="66"/>
      <c r="BD399" s="66"/>
      <c r="BE399" s="66"/>
      <c r="BF399" s="66"/>
      <c r="BG399" s="66"/>
      <c r="BH399" s="66"/>
      <c r="BI399" s="101"/>
      <c r="BJ399" s="154"/>
      <c r="BK399" s="66"/>
      <c r="BL399" s="66"/>
      <c r="BM399" s="66"/>
    </row>
    <row r="400" spans="2:65" ht="15.75" outlineLevel="1" x14ac:dyDescent="0.25">
      <c r="B400" s="201"/>
      <c r="C400" s="77"/>
      <c r="D400" s="155"/>
      <c r="E400" s="188" t="s">
        <v>396</v>
      </c>
      <c r="F400" s="116"/>
      <c r="H400" s="68"/>
      <c r="I400" s="68"/>
      <c r="J400" s="67"/>
      <c r="K400" s="190">
        <f>AV402</f>
        <v>155.76949546056414</v>
      </c>
      <c r="L400" s="128" t="s">
        <v>401</v>
      </c>
      <c r="M400" s="67"/>
      <c r="N400" s="67"/>
      <c r="O400" s="67"/>
      <c r="P400" s="67"/>
      <c r="Q400" s="67"/>
      <c r="R400" s="190">
        <f ca="1">AY402</f>
        <v>29.423126920328787</v>
      </c>
      <c r="S400" s="128" t="s">
        <v>358</v>
      </c>
      <c r="U400" s="68"/>
      <c r="V400" s="68"/>
      <c r="W400" s="68"/>
      <c r="X400" s="68"/>
      <c r="Y400" s="67"/>
      <c r="Z400" s="67"/>
      <c r="AA400" s="8"/>
      <c r="AB400" s="61"/>
      <c r="AC400" s="101"/>
      <c r="AD400" s="101"/>
      <c r="AE400" s="154"/>
      <c r="AF400" s="101"/>
      <c r="AG400" s="154"/>
      <c r="AH400" s="65"/>
      <c r="AI400" s="65"/>
      <c r="AJ400" s="65"/>
      <c r="AK400" s="65"/>
      <c r="AL400" s="103"/>
      <c r="AM400" s="65"/>
      <c r="AN400" s="65"/>
      <c r="AO400" s="101"/>
      <c r="AP400" s="154"/>
      <c r="AQ400" s="65"/>
      <c r="AR400" s="65"/>
      <c r="AS400" s="152" t="str">
        <f>Data!$D$6</f>
        <v>Gas boiler</v>
      </c>
      <c r="AT400" s="177" t="s">
        <v>374</v>
      </c>
      <c r="AU400" s="179">
        <f>AU397/(Balance!$H$18*Balance!$H$19)*Balance!H$23</f>
        <v>22.716384754665608</v>
      </c>
      <c r="AV400" s="176">
        <f>AU400*Balance!$H$13</f>
        <v>454.32769509331217</v>
      </c>
      <c r="AW400" s="66"/>
      <c r="AX400" s="186">
        <f ca="1">AU397/(Balance!$H$18*Balance!$H$19)*Balance!$G$23/1000</f>
        <v>3.2374711606139068</v>
      </c>
      <c r="AY400" s="176">
        <f ca="1">AX400*Balance!$H$13</f>
        <v>64.749423212278131</v>
      </c>
      <c r="AZ400" s="101"/>
      <c r="BA400" s="154"/>
      <c r="BB400" s="66"/>
      <c r="BC400" s="66"/>
      <c r="BD400" s="66"/>
      <c r="BE400" s="66"/>
      <c r="BF400" s="66"/>
      <c r="BG400" s="66"/>
      <c r="BH400" s="66"/>
      <c r="BI400" s="101"/>
      <c r="BJ400" s="154"/>
      <c r="BK400" s="66"/>
      <c r="BL400" s="66"/>
      <c r="BM400" s="66"/>
    </row>
    <row r="401" spans="2:65" ht="15.75" outlineLevel="1" x14ac:dyDescent="0.25">
      <c r="B401" s="201"/>
      <c r="C401" s="77"/>
      <c r="D401" s="155"/>
      <c r="E401" s="188" t="s">
        <v>352</v>
      </c>
      <c r="F401" s="116"/>
      <c r="H401" s="68"/>
      <c r="I401" s="68"/>
      <c r="J401" s="67"/>
      <c r="K401" s="191">
        <f>K400+K399</f>
        <v>230.00841056767302</v>
      </c>
      <c r="L401" s="128" t="s">
        <v>355</v>
      </c>
      <c r="M401" s="67"/>
      <c r="N401" s="67"/>
      <c r="O401" s="67"/>
      <c r="P401" s="67"/>
      <c r="Q401" s="67"/>
      <c r="R401" s="191">
        <f ca="1">R400+R399</f>
        <v>53.740783069887271</v>
      </c>
      <c r="S401" s="128" t="s">
        <v>358</v>
      </c>
      <c r="T401" s="153"/>
      <c r="U401" s="68"/>
      <c r="V401" s="68"/>
      <c r="W401" s="68"/>
      <c r="X401" s="68"/>
      <c r="Y401" s="67"/>
      <c r="Z401" s="67"/>
      <c r="AA401" s="8"/>
      <c r="AB401" s="61"/>
      <c r="AC401" s="101"/>
      <c r="AD401" s="101"/>
      <c r="AE401" s="154"/>
      <c r="AF401" s="101"/>
      <c r="AG401" s="154"/>
      <c r="AH401" s="65"/>
      <c r="AI401" s="65"/>
      <c r="AJ401" s="65"/>
      <c r="AK401" s="65"/>
      <c r="AL401" s="103"/>
      <c r="AM401" s="65"/>
      <c r="AN401" s="65"/>
      <c r="AO401" s="101"/>
      <c r="AP401" s="154"/>
      <c r="AQ401" s="65"/>
      <c r="AR401" s="65"/>
      <c r="AS401" s="152" t="str">
        <f>Data!$D$7</f>
        <v>Biomass</v>
      </c>
      <c r="AT401" s="177" t="s">
        <v>374</v>
      </c>
      <c r="AU401" s="179">
        <f>AU397/(Balance!$H$18*Balance!$H$19)*Balance!$H$24</f>
        <v>14.278870417218384</v>
      </c>
      <c r="AV401" s="176">
        <f>AU401*Balance!$H$13</f>
        <v>285.57740834436765</v>
      </c>
      <c r="AW401" s="66"/>
      <c r="AX401" s="186">
        <f ca="1">AU397/(Balance!$H$18*Balance!$H$19)*Balance!$G$24/1000</f>
        <v>0.2758418148780824</v>
      </c>
      <c r="AY401" s="176">
        <f ca="1">AX401*Balance!$H$13</f>
        <v>5.5168362975616478</v>
      </c>
      <c r="AZ401" s="101"/>
      <c r="BA401" s="154"/>
      <c r="BB401" s="66"/>
      <c r="BC401" s="66"/>
      <c r="BD401" s="66"/>
      <c r="BE401" s="66"/>
      <c r="BF401" s="66"/>
      <c r="BG401" s="66"/>
      <c r="BH401" s="66"/>
      <c r="BI401" s="101"/>
      <c r="BJ401" s="154"/>
      <c r="BK401" s="66"/>
      <c r="BL401" s="66"/>
      <c r="BM401" s="66"/>
    </row>
    <row r="402" spans="2:65" outlineLevel="1" x14ac:dyDescent="0.25">
      <c r="B402" s="201"/>
      <c r="C402" s="104"/>
      <c r="D402" s="105"/>
      <c r="E402" s="106"/>
      <c r="F402" s="106"/>
      <c r="G402" s="106"/>
      <c r="H402" s="107"/>
      <c r="I402" s="107"/>
      <c r="J402" s="107"/>
      <c r="K402" s="106"/>
      <c r="L402" s="106"/>
      <c r="M402" s="106"/>
      <c r="N402" s="106"/>
      <c r="O402" s="106"/>
      <c r="P402" s="106"/>
      <c r="Q402" s="106"/>
      <c r="R402" s="106"/>
      <c r="S402" s="106"/>
      <c r="T402" s="106"/>
      <c r="U402" s="106"/>
      <c r="V402" s="106"/>
      <c r="W402" s="106"/>
      <c r="X402" s="106"/>
      <c r="Y402" s="106"/>
      <c r="Z402" s="108"/>
      <c r="AA402" s="109"/>
      <c r="AB402" s="61"/>
      <c r="AC402" s="101"/>
      <c r="AD402" s="101" t="s">
        <v>129</v>
      </c>
      <c r="AE402" s="110">
        <f>IF(ISNUMBER(G387),(AG398-AP398)/(2*AE398),0)</f>
        <v>6.5672992554897009E-17</v>
      </c>
      <c r="AF402" s="111"/>
      <c r="AG402" s="65"/>
      <c r="AH402" s="101"/>
      <c r="AI402" s="65"/>
      <c r="AJ402" s="65"/>
      <c r="AK402" s="65"/>
      <c r="AL402" s="65"/>
      <c r="AM402" s="65"/>
      <c r="AN402" s="65"/>
      <c r="AO402" s="65"/>
      <c r="AP402" s="66"/>
      <c r="AQ402" s="65"/>
      <c r="AR402" s="65"/>
      <c r="AS402" s="178" t="str">
        <f>Balance!$G$16</f>
        <v>Heat pump</v>
      </c>
      <c r="AT402" s="66"/>
      <c r="AU402" s="185">
        <f>VLOOKUP(AS402,AS398:AU401,3,0)</f>
        <v>7.7884747730282076</v>
      </c>
      <c r="AV402" s="185">
        <f>VLOOKUP(AS402,AS398:AV401,4,0)</f>
        <v>155.76949546056414</v>
      </c>
      <c r="AW402" s="185"/>
      <c r="AX402" s="187">
        <f ca="1">VLOOKUP(AS402,AS398:AX401,6,0)</f>
        <v>1.4711563460164394</v>
      </c>
      <c r="AY402" s="185">
        <f ca="1">VLOOKUP(AS402,AS398:AY401,7,0)</f>
        <v>29.423126920328787</v>
      </c>
      <c r="AZ402" s="66"/>
      <c r="BA402" s="66"/>
      <c r="BB402" s="66"/>
      <c r="BC402" s="66"/>
      <c r="BD402" s="66"/>
      <c r="BE402" s="66"/>
      <c r="BF402" s="66"/>
      <c r="BG402" s="66"/>
      <c r="BH402" s="66"/>
      <c r="BI402" s="66"/>
      <c r="BJ402" s="66"/>
      <c r="BK402" s="66"/>
      <c r="BL402" s="66"/>
      <c r="BM402" s="66"/>
    </row>
    <row r="403" spans="2:65" outlineLevel="1" x14ac:dyDescent="0.25">
      <c r="B403" s="201"/>
    </row>
    <row r="404" spans="2:65" outlineLevel="1" x14ac:dyDescent="0.25">
      <c r="B404" s="201"/>
      <c r="C404" s="62"/>
      <c r="D404" s="114" t="s">
        <v>131</v>
      </c>
      <c r="E404" s="115" t="s">
        <v>132</v>
      </c>
      <c r="F404" s="115"/>
      <c r="G404" s="63"/>
      <c r="H404" s="63"/>
      <c r="I404" s="63"/>
      <c r="J404" s="63"/>
      <c r="K404" s="63"/>
      <c r="L404" s="63"/>
      <c r="M404" s="63"/>
      <c r="N404" s="63"/>
      <c r="O404" s="63"/>
      <c r="P404" s="63"/>
      <c r="Q404" s="63"/>
      <c r="R404" s="63"/>
      <c r="S404" s="63"/>
      <c r="T404" s="63"/>
      <c r="U404" s="63"/>
      <c r="V404" s="63"/>
      <c r="W404" s="63"/>
      <c r="X404" s="63"/>
      <c r="Y404" s="63"/>
      <c r="Z404" s="63"/>
      <c r="AA404" s="64"/>
      <c r="AB404" s="61"/>
      <c r="AC404" s="65" t="s">
        <v>402</v>
      </c>
      <c r="AD404" s="65"/>
      <c r="AE404" s="65"/>
      <c r="AF404" s="65"/>
      <c r="AG404" s="65"/>
      <c r="AH404" s="65"/>
      <c r="AI404" s="65"/>
      <c r="AJ404" s="65"/>
      <c r="AK404" s="65"/>
      <c r="AL404" s="65"/>
      <c r="AM404" s="65"/>
      <c r="AN404" s="65"/>
      <c r="AO404" s="65"/>
      <c r="AP404" s="65"/>
      <c r="AQ404" s="66"/>
      <c r="AR404" s="65" t="s">
        <v>405</v>
      </c>
      <c r="AS404" s="65"/>
      <c r="AT404" s="65"/>
      <c r="AU404" s="65"/>
      <c r="AV404" s="65"/>
      <c r="AW404" s="65"/>
      <c r="AX404" s="65"/>
      <c r="AY404" s="65"/>
      <c r="AZ404" s="65"/>
      <c r="BA404" s="65"/>
      <c r="BB404" s="65" t="s">
        <v>403</v>
      </c>
      <c r="BC404" s="65"/>
      <c r="BD404" s="65"/>
      <c r="BE404" s="65"/>
      <c r="BF404" s="65"/>
      <c r="BG404" s="65"/>
      <c r="BH404" s="65"/>
      <c r="BI404" s="65"/>
      <c r="BJ404" s="65"/>
      <c r="BK404" s="65"/>
      <c r="BL404" s="65"/>
      <c r="BM404" s="65"/>
    </row>
    <row r="405" spans="2:65" ht="15.75" x14ac:dyDescent="0.25">
      <c r="B405" s="201"/>
      <c r="C405" s="69"/>
      <c r="D405" s="70">
        <v>16</v>
      </c>
      <c r="E405" s="71" t="s">
        <v>983</v>
      </c>
      <c r="F405" s="92"/>
      <c r="G405" s="72"/>
      <c r="H405" s="72"/>
      <c r="I405" s="72"/>
      <c r="J405" s="72"/>
      <c r="K405" s="72"/>
      <c r="L405" s="72"/>
      <c r="M405" s="72"/>
      <c r="N405" s="72"/>
      <c r="O405" s="72"/>
      <c r="P405" s="72"/>
      <c r="Q405" s="72"/>
      <c r="R405" s="72"/>
      <c r="S405" s="72"/>
      <c r="T405" s="72"/>
      <c r="U405" s="72"/>
      <c r="V405" s="72"/>
      <c r="W405" s="72"/>
      <c r="X405" s="72"/>
      <c r="Y405" s="72"/>
      <c r="Z405" s="73"/>
      <c r="AA405" s="75"/>
      <c r="AB405" s="61"/>
      <c r="AC405" s="65"/>
      <c r="AD405" s="65"/>
      <c r="AE405" s="76" t="s">
        <v>114</v>
      </c>
      <c r="AF405" s="65"/>
      <c r="AG405" s="65"/>
      <c r="AH405" s="65"/>
      <c r="AI405" s="65"/>
      <c r="AJ405" s="65"/>
      <c r="AK405" s="65"/>
      <c r="AL405" s="65"/>
      <c r="AM405" s="65"/>
      <c r="AN405" s="65"/>
      <c r="AO405" s="65"/>
      <c r="AP405" s="66"/>
      <c r="AQ405" s="65"/>
      <c r="AR405" s="65" t="s">
        <v>404</v>
      </c>
      <c r="AS405" s="65"/>
      <c r="AT405" s="65"/>
      <c r="AU405" s="65"/>
      <c r="AV405" s="65"/>
      <c r="AW405" s="65"/>
      <c r="AX405" s="65"/>
      <c r="AY405" s="65"/>
      <c r="AZ405" s="65"/>
      <c r="BA405" s="65"/>
      <c r="BB405" s="65" t="s">
        <v>407</v>
      </c>
      <c r="BC405" s="65"/>
      <c r="BD405" s="65"/>
      <c r="BE405" s="65"/>
      <c r="BF405" s="65"/>
      <c r="BG405" s="65"/>
      <c r="BH405" s="65"/>
      <c r="BI405" s="65"/>
      <c r="BJ405" s="65"/>
      <c r="BK405" s="65"/>
      <c r="BL405" s="65"/>
      <c r="BM405" s="65"/>
    </row>
    <row r="406" spans="2:65" outlineLevel="1" x14ac:dyDescent="0.25">
      <c r="B406" s="201"/>
      <c r="C406" s="77"/>
      <c r="D406" s="116" t="s">
        <v>133</v>
      </c>
      <c r="E406" s="78"/>
      <c r="F406" s="78"/>
      <c r="AA406" s="75"/>
      <c r="AB406" s="61"/>
      <c r="AC406" s="65"/>
      <c r="AD406" s="65"/>
      <c r="AE406" s="65"/>
      <c r="AF406" s="65"/>
      <c r="AG406" s="65"/>
      <c r="AH406" s="65"/>
      <c r="AI406" s="65"/>
      <c r="AJ406" s="65"/>
      <c r="AK406" s="65"/>
      <c r="AL406" s="65"/>
      <c r="AM406" s="65"/>
      <c r="AN406" s="65"/>
      <c r="AO406" s="65"/>
      <c r="AP406" s="66"/>
      <c r="AQ406" s="65"/>
      <c r="AR406" s="65"/>
      <c r="AS406" s="65"/>
      <c r="AT406" s="65"/>
      <c r="AU406" s="65"/>
      <c r="AV406" s="65"/>
      <c r="AW406" s="65"/>
      <c r="AX406" s="65"/>
      <c r="AY406" s="65"/>
      <c r="AZ406" s="65"/>
      <c r="BA406" s="65"/>
      <c r="BB406" s="65"/>
      <c r="BC406" s="65"/>
      <c r="BD406" s="65"/>
      <c r="BE406" s="65"/>
      <c r="BF406" s="65"/>
      <c r="BG406" s="65"/>
      <c r="BH406" s="65"/>
      <c r="BI406" s="65"/>
      <c r="BJ406" s="65"/>
      <c r="BK406" s="65"/>
      <c r="BL406" s="65"/>
      <c r="BM406" s="65"/>
    </row>
    <row r="407" spans="2:65" outlineLevel="1" x14ac:dyDescent="0.25">
      <c r="B407" s="201"/>
      <c r="C407" s="77"/>
      <c r="D407" s="79">
        <v>0.13</v>
      </c>
      <c r="E407" s="2" t="s">
        <v>151</v>
      </c>
      <c r="F407" s="138">
        <v>1</v>
      </c>
      <c r="G407" s="61"/>
      <c r="H407" s="74"/>
      <c r="I407" s="74"/>
      <c r="J407" s="74"/>
      <c r="K407" s="2" t="s">
        <v>921</v>
      </c>
      <c r="L407" s="74"/>
      <c r="M407" s="74"/>
      <c r="N407" s="74"/>
      <c r="AA407" s="75"/>
      <c r="AB407" s="61"/>
      <c r="AC407" s="65"/>
      <c r="AD407" s="65"/>
      <c r="AE407" s="65" t="s">
        <v>115</v>
      </c>
      <c r="AF407" s="65"/>
      <c r="AG407" s="65"/>
      <c r="AH407" s="65"/>
      <c r="AI407" s="65" t="s">
        <v>116</v>
      </c>
      <c r="AJ407" s="65"/>
      <c r="AK407" s="65"/>
      <c r="AL407" s="65"/>
      <c r="AM407" s="65"/>
      <c r="AN407" s="65"/>
      <c r="AO407" s="65"/>
      <c r="AP407" s="66"/>
      <c r="AQ407" s="65"/>
      <c r="AR407" s="65"/>
      <c r="AS407" s="65"/>
      <c r="AT407" s="65"/>
      <c r="AU407" s="65"/>
      <c r="AV407" s="65"/>
      <c r="AW407" s="65"/>
      <c r="AX407" s="65"/>
      <c r="AY407" s="65"/>
      <c r="AZ407" s="65"/>
      <c r="BA407" s="65"/>
      <c r="BB407" s="65"/>
      <c r="BC407" s="65"/>
      <c r="BD407" s="65"/>
      <c r="BE407" s="65"/>
      <c r="BF407" s="65"/>
      <c r="BG407" s="65"/>
      <c r="BH407" s="65"/>
      <c r="BI407" s="65"/>
      <c r="BJ407" s="65"/>
      <c r="BK407" s="65"/>
      <c r="BL407" s="65"/>
      <c r="BM407" s="65"/>
    </row>
    <row r="408" spans="2:65" ht="15.75" outlineLevel="1" x14ac:dyDescent="0.25">
      <c r="B408" s="201"/>
      <c r="C408" s="77"/>
      <c r="D408" s="79">
        <v>0.04</v>
      </c>
      <c r="E408" s="2" t="s">
        <v>152</v>
      </c>
      <c r="F408" s="2"/>
      <c r="G408" s="61"/>
      <c r="H408" s="74"/>
      <c r="I408" s="74"/>
      <c r="J408" s="74"/>
      <c r="K408" s="74"/>
      <c r="L408" s="74"/>
      <c r="M408" s="74"/>
      <c r="N408" s="74"/>
      <c r="AA408" s="75"/>
      <c r="AB408" s="61"/>
      <c r="AC408" s="65"/>
      <c r="AD408" s="65"/>
      <c r="AE408" s="80" t="s">
        <v>117</v>
      </c>
      <c r="AF408" s="81"/>
      <c r="AG408" s="81"/>
      <c r="AH408" s="65"/>
      <c r="AI408" s="82" t="s">
        <v>118</v>
      </c>
      <c r="AJ408" s="81"/>
      <c r="AK408" s="81"/>
      <c r="AL408" s="65"/>
      <c r="AM408" s="83" t="s">
        <v>119</v>
      </c>
      <c r="AN408" s="84"/>
      <c r="AO408" s="85"/>
      <c r="AP408" s="65"/>
      <c r="AQ408" s="65"/>
      <c r="AR408" s="65"/>
      <c r="AS408" s="65"/>
      <c r="AT408" s="65"/>
      <c r="AU408" s="65"/>
      <c r="AV408" s="65"/>
      <c r="AW408" s="65"/>
      <c r="AX408" s="65"/>
      <c r="AY408" s="65"/>
      <c r="AZ408" s="65"/>
      <c r="BA408" s="65"/>
      <c r="BB408" s="65"/>
      <c r="BC408" s="65"/>
      <c r="BD408" s="65"/>
      <c r="BE408" s="65"/>
      <c r="BF408" s="65"/>
      <c r="BG408" s="65"/>
      <c r="BH408" s="65"/>
      <c r="BI408" s="65"/>
      <c r="BJ408" s="65"/>
      <c r="BK408" s="65"/>
      <c r="BL408" s="65"/>
      <c r="BM408" s="65"/>
    </row>
    <row r="409" spans="2:65" ht="15.75" outlineLevel="1" x14ac:dyDescent="0.25">
      <c r="B409" s="201"/>
      <c r="C409" s="77"/>
      <c r="D409" s="74"/>
      <c r="E409" s="61"/>
      <c r="F409" s="61"/>
      <c r="G409" s="61"/>
      <c r="H409" s="74"/>
      <c r="I409" s="74"/>
      <c r="J409" s="74"/>
      <c r="K409" s="74"/>
      <c r="L409" s="74"/>
      <c r="M409" s="74"/>
      <c r="N409" s="74"/>
      <c r="O409" s="1"/>
      <c r="P409" s="1"/>
      <c r="Q409" s="1"/>
      <c r="AA409" s="75"/>
      <c r="AB409" s="61"/>
      <c r="AC409" s="65"/>
      <c r="AD409" s="65"/>
      <c r="AE409" s="117"/>
      <c r="AF409" s="117"/>
      <c r="AG409" s="117"/>
      <c r="AH409" s="65"/>
      <c r="AI409" s="118"/>
      <c r="AJ409" s="117"/>
      <c r="AK409" s="117"/>
      <c r="AL409" s="65"/>
      <c r="AM409" s="119"/>
      <c r="AN409" s="119"/>
      <c r="AO409" s="119"/>
      <c r="AP409" s="65"/>
      <c r="AQ409" s="65"/>
      <c r="AR409" s="65"/>
      <c r="AS409" s="65"/>
      <c r="AT409" s="148" t="s">
        <v>351</v>
      </c>
      <c r="AU409" s="65"/>
      <c r="AV409" s="65"/>
      <c r="AW409" s="65"/>
      <c r="AX409" s="148"/>
      <c r="AY409" s="65"/>
      <c r="AZ409" s="65"/>
      <c r="BA409" s="65"/>
      <c r="BB409" s="65"/>
      <c r="BC409" s="148" t="s">
        <v>406</v>
      </c>
      <c r="BD409" s="65"/>
      <c r="BE409" s="65"/>
      <c r="BF409" s="65"/>
      <c r="BG409" s="148"/>
      <c r="BH409" s="65"/>
      <c r="BI409" s="65"/>
      <c r="BJ409" s="65"/>
      <c r="BK409" s="65"/>
      <c r="BL409" s="65"/>
      <c r="BM409" s="65"/>
    </row>
    <row r="410" spans="2:65" ht="22.5" outlineLevel="1" x14ac:dyDescent="0.25">
      <c r="B410" s="201"/>
      <c r="C410" s="77"/>
      <c r="D410" s="121" t="str">
        <f>$D$35</f>
        <v>Area section 1</v>
      </c>
      <c r="E410" s="61"/>
      <c r="F410" s="122" t="str">
        <f>$F$35</f>
        <v>Count?</v>
      </c>
      <c r="G410" s="122" t="str">
        <f>$G$35</f>
        <v>Thermal conductivity</v>
      </c>
      <c r="H410" s="122" t="str">
        <f>$H$35</f>
        <v>Manfacturing energy</v>
      </c>
      <c r="I410" s="122" t="str">
        <f>$I$35</f>
        <v>GWP</v>
      </c>
      <c r="J410" s="122" t="str">
        <f>$J$35</f>
        <v>Service life</v>
      </c>
      <c r="K410" s="121" t="str">
        <f>$K$35</f>
        <v>Area section 2 (optional)</v>
      </c>
      <c r="L410" s="121"/>
      <c r="M410" s="122" t="str">
        <f>$M$35</f>
        <v>Count?</v>
      </c>
      <c r="N410" s="122" t="str">
        <f>$N$35</f>
        <v>Thermal conductivity</v>
      </c>
      <c r="O410" s="122" t="str">
        <f>$O$35</f>
        <v>Manfacturing energy</v>
      </c>
      <c r="P410" s="122" t="str">
        <f>$P$35</f>
        <v>GWP</v>
      </c>
      <c r="Q410" s="122" t="str">
        <f>$Q$35</f>
        <v>Service life</v>
      </c>
      <c r="R410" s="121" t="str">
        <f>$R$35</f>
        <v>Area section 3 (optional)</v>
      </c>
      <c r="S410" s="74"/>
      <c r="T410" s="122" t="str">
        <f>$T$35</f>
        <v>Count?</v>
      </c>
      <c r="U410" s="122" t="str">
        <f>$U$35</f>
        <v>Thermal conductivity</v>
      </c>
      <c r="V410" s="122" t="str">
        <f>$V$35</f>
        <v>Manfacturing energy</v>
      </c>
      <c r="W410" s="122" t="str">
        <f>$W$35</f>
        <v>GWP</v>
      </c>
      <c r="X410" s="122" t="str">
        <f>$X$35</f>
        <v>Service life</v>
      </c>
      <c r="Y410" s="74"/>
      <c r="Z410" s="122" t="str">
        <f>$Z$35</f>
        <v>Thickness</v>
      </c>
      <c r="AA410" s="75"/>
      <c r="AB410" s="61"/>
      <c r="AC410" s="65"/>
      <c r="AD410" s="65"/>
      <c r="AE410" s="86"/>
      <c r="AF410" s="87"/>
      <c r="AG410" s="65"/>
      <c r="AH410" s="65"/>
      <c r="AI410" s="65"/>
      <c r="AJ410" s="65"/>
      <c r="AK410" s="65"/>
      <c r="AL410" s="65"/>
      <c r="AM410" s="65"/>
      <c r="AN410" s="65"/>
      <c r="AO410" s="65"/>
      <c r="AP410" s="65"/>
      <c r="AQ410" s="65"/>
      <c r="AR410" s="65"/>
      <c r="AS410" s="65"/>
      <c r="AT410" s="148"/>
      <c r="AU410" s="65"/>
      <c r="AV410" s="65"/>
      <c r="AW410" s="151" t="s">
        <v>353</v>
      </c>
      <c r="AX410" s="149">
        <f>D420</f>
        <v>1</v>
      </c>
      <c r="AY410" s="150">
        <f>K420</f>
        <v>0</v>
      </c>
      <c r="AZ410" s="150">
        <f>R420</f>
        <v>0</v>
      </c>
      <c r="BA410" s="156">
        <f>SUM(AX410:AZ410)</f>
        <v>1</v>
      </c>
      <c r="BB410" s="65"/>
      <c r="BC410" s="148"/>
      <c r="BD410" s="65"/>
      <c r="BE410" s="65"/>
      <c r="BF410" s="151" t="s">
        <v>353</v>
      </c>
      <c r="BG410" s="149">
        <f>AX410</f>
        <v>1</v>
      </c>
      <c r="BH410" s="149">
        <f t="shared" ref="BH410" si="294">AY410</f>
        <v>0</v>
      </c>
      <c r="BI410" s="149">
        <f t="shared" ref="BI410" si="295">AZ410</f>
        <v>0</v>
      </c>
      <c r="BJ410" s="156">
        <f>SUM(BG410:BI410)</f>
        <v>1</v>
      </c>
      <c r="BK410" s="65"/>
      <c r="BL410" s="65"/>
      <c r="BM410" s="65"/>
    </row>
    <row r="411" spans="2:65" outlineLevel="1" x14ac:dyDescent="0.25">
      <c r="B411" s="201"/>
      <c r="C411" s="77"/>
      <c r="E411" s="61"/>
      <c r="F411" s="120" t="s">
        <v>985</v>
      </c>
      <c r="G411" s="4" t="s">
        <v>135</v>
      </c>
      <c r="H411" s="120" t="s">
        <v>144</v>
      </c>
      <c r="I411" s="120" t="s">
        <v>148</v>
      </c>
      <c r="J411" s="120" t="s">
        <v>146</v>
      </c>
      <c r="K411" s="88"/>
      <c r="L411" s="88"/>
      <c r="M411" s="88"/>
      <c r="N411" s="4" t="s">
        <v>135</v>
      </c>
      <c r="O411" s="120" t="s">
        <v>144</v>
      </c>
      <c r="P411" s="120" t="s">
        <v>148</v>
      </c>
      <c r="Q411" s="120" t="s">
        <v>146</v>
      </c>
      <c r="R411" s="88"/>
      <c r="S411" s="88"/>
      <c r="T411" s="88"/>
      <c r="U411" s="4" t="s">
        <v>135</v>
      </c>
      <c r="V411" s="120" t="s">
        <v>144</v>
      </c>
      <c r="W411" s="120" t="s">
        <v>148</v>
      </c>
      <c r="X411" s="120" t="s">
        <v>146</v>
      </c>
      <c r="Y411" s="74"/>
      <c r="Z411" s="120" t="str">
        <f>$Z$36</f>
        <v>[mm]</v>
      </c>
      <c r="AA411" s="75"/>
      <c r="AB411" s="61"/>
      <c r="AC411" s="65"/>
      <c r="AD411" s="65"/>
      <c r="AE411" s="89" t="s">
        <v>120</v>
      </c>
      <c r="AF411" s="89" t="s">
        <v>121</v>
      </c>
      <c r="AG411" s="89" t="s">
        <v>122</v>
      </c>
      <c r="AH411" s="65"/>
      <c r="AI411" s="89" t="s">
        <v>120</v>
      </c>
      <c r="AJ411" s="89" t="s">
        <v>121</v>
      </c>
      <c r="AK411" s="89" t="s">
        <v>122</v>
      </c>
      <c r="AL411" s="90"/>
      <c r="AM411" s="89" t="s">
        <v>120</v>
      </c>
      <c r="AN411" s="89" t="s">
        <v>121</v>
      </c>
      <c r="AO411" s="89" t="s">
        <v>122</v>
      </c>
      <c r="AP411" s="90" t="s">
        <v>123</v>
      </c>
      <c r="AQ411" s="65"/>
      <c r="AR411" s="65"/>
      <c r="AS411" s="65"/>
      <c r="AT411" s="89" t="s">
        <v>120</v>
      </c>
      <c r="AU411" s="89" t="s">
        <v>121</v>
      </c>
      <c r="AV411" s="89" t="s">
        <v>122</v>
      </c>
      <c r="AW411" s="65"/>
      <c r="AX411" s="89" t="s">
        <v>120</v>
      </c>
      <c r="AY411" s="89" t="s">
        <v>121</v>
      </c>
      <c r="AZ411" s="89" t="s">
        <v>122</v>
      </c>
      <c r="BA411" s="89" t="s">
        <v>354</v>
      </c>
      <c r="BB411" s="65"/>
      <c r="BC411" s="89" t="s">
        <v>120</v>
      </c>
      <c r="BD411" s="89" t="s">
        <v>121</v>
      </c>
      <c r="BE411" s="89" t="s">
        <v>122</v>
      </c>
      <c r="BF411" s="65"/>
      <c r="BG411" s="89" t="s">
        <v>120</v>
      </c>
      <c r="BH411" s="89" t="s">
        <v>121</v>
      </c>
      <c r="BI411" s="89" t="s">
        <v>122</v>
      </c>
      <c r="BJ411" s="89" t="s">
        <v>354</v>
      </c>
      <c r="BK411" s="65"/>
      <c r="BL411" s="65"/>
      <c r="BM411" s="65"/>
    </row>
    <row r="412" spans="2:65" outlineLevel="1" x14ac:dyDescent="0.25">
      <c r="B412" s="201"/>
      <c r="C412" s="91"/>
      <c r="D412" s="418" t="s">
        <v>1023</v>
      </c>
      <c r="E412" s="419"/>
      <c r="F412" s="94">
        <v>1</v>
      </c>
      <c r="G412" s="136">
        <f>IF(ISNUMBER(VLOOKUP(LEFT(D412,3),'Material editor'!$D$11:$H$110,'Material editor'!$E$8,0)),VLOOKUP(LEFT(D412,3),'Material editor'!$D$11:$H$110,'Material editor'!$E$8,0),"")</f>
        <v>0.54</v>
      </c>
      <c r="H412" s="137">
        <f>IF(ISNUMBER(VLOOKUP(LEFT(D412,3),'Material editor'!$D$11:$H$110,'Material editor'!$F$8,0)),VLOOKUP(LEFT(D412,3),'Material editor'!$D$11:$H$110,'Material editor'!$F$8,0),"")</f>
        <v>615.62380504232146</v>
      </c>
      <c r="I412" s="137">
        <f>IF(ISNUMBER(VLOOKUP(LEFT(D412,3),'Material editor'!$D$11:$H$110,'Material editor'!$G$8,0)),VLOOKUP(LEFT(D412,3),'Material editor'!$D$11:$H$110,'Material editor'!$G$8,0),"")</f>
        <v>118.443629056085</v>
      </c>
      <c r="J412" s="137">
        <f>IF(ISNUMBER(VLOOKUP(LEFT(D412,3),'Material editor'!$D$11:$H$110,'Material editor'!$H$8,0)),VLOOKUP(LEFT(D412,3),'Material editor'!$D$11:$H$110,'Material editor'!$H$8,0),"")</f>
        <v>40</v>
      </c>
      <c r="K412" s="418"/>
      <c r="L412" s="407"/>
      <c r="M412" s="94"/>
      <c r="N412" s="136" t="str">
        <f>IF(ISNUMBER(VLOOKUP(LEFT(K412,3),'Material editor'!$D$11:$H$110,'Material editor'!$E$8,0)),VLOOKUP(LEFT(K412,3),'Material editor'!$D$11:$H$110,'Material editor'!$E$8,0),"")</f>
        <v/>
      </c>
      <c r="O412" s="137" t="str">
        <f>IF(ISNUMBER(VLOOKUP(LEFT(K412,3),'Material editor'!$D$11:$H$110,'Material editor'!$F$8,0)),VLOOKUP(LEFT(K412,3),'Material editor'!$D$11:$H$110,'Material editor'!$F$8,0),"")</f>
        <v/>
      </c>
      <c r="P412" s="137" t="str">
        <f>IF(ISNUMBER(VLOOKUP(LEFT(K412,3),'Material editor'!$D$11:$H$110,'Material editor'!$G$8,0)),VLOOKUP(LEFT(K412,3),'Material editor'!$D$11:$H$110,'Material editor'!$G$8,0),"")</f>
        <v/>
      </c>
      <c r="Q412" s="137" t="str">
        <f>IF(ISNUMBER(VLOOKUP(LEFT(K412,3),'Material editor'!$D$11:$H$110,'Material editor'!$H$8,0)),VLOOKUP(LEFT(K412,3),'Material editor'!$D$11:$H$110,'Material editor'!$H$8,0),"")</f>
        <v/>
      </c>
      <c r="R412" s="418"/>
      <c r="S412" s="407"/>
      <c r="T412" s="94"/>
      <c r="U412" s="136" t="str">
        <f>IF(ISNUMBER(VLOOKUP(LEFT(R412,3),'Material editor'!$D$11:$H$110,'Material editor'!$E$8,0)),VLOOKUP(LEFT(R412,3),'Material editor'!$D$11:$H$110,'Material editor'!$E$8,0),"")</f>
        <v/>
      </c>
      <c r="V412" s="137" t="str">
        <f>IF(ISNUMBER(VLOOKUP(LEFT(R412,3),'Material editor'!$D$11:$H$110,'Material editor'!$F$8,0)),VLOOKUP(LEFT(R412,3),'Material editor'!$D$11:$H$110,'Material editor'!$F$8,0),"")</f>
        <v/>
      </c>
      <c r="W412" s="137" t="str">
        <f>IF(ISNUMBER(VLOOKUP(LEFT(R412,3),'Material editor'!$D$11:$H$110,'Material editor'!$G$8,0)),VLOOKUP(LEFT(R412,3),'Material editor'!$D$11:$H$110,'Material editor'!$G$8,0),"")</f>
        <v/>
      </c>
      <c r="X412" s="137" t="str">
        <f>IF(ISNUMBER(VLOOKUP(LEFT(R412,3),'Material editor'!$D$11:$H$110,'Material editor'!$H$8,0)),VLOOKUP(LEFT(R412,3),'Material editor'!$D$11:$H$110,'Material editor'!$H$8,0),"")</f>
        <v/>
      </c>
      <c r="Y412" s="74"/>
      <c r="Z412" s="94">
        <v>15</v>
      </c>
      <c r="AA412" s="8"/>
      <c r="AB412" s="61"/>
      <c r="AC412" s="65"/>
      <c r="AD412" s="65"/>
      <c r="AE412" s="95">
        <f t="shared" ref="AE412:AE419" si="296">IF(ISNUMBER(G412),IF(G412&gt;0,$Z412/1000/G412,0),0)</f>
        <v>2.7777777777777776E-2</v>
      </c>
      <c r="AF412" s="95">
        <f t="shared" ref="AF412:AF419" si="297">IF(ISNUMBER(N412),IF(N412&gt;0,$Z412/1000/N412,0),$AE412)</f>
        <v>2.7777777777777776E-2</v>
      </c>
      <c r="AG412" s="95">
        <f t="shared" ref="AG412:AG419" si="298">IF(ISNUMBER(U412),IF(U412&gt;0,$Z412/1000/U412,0),$AE412)</f>
        <v>2.7777777777777776E-2</v>
      </c>
      <c r="AH412" s="65"/>
      <c r="AI412" s="95">
        <f t="shared" ref="AI412:AI418" si="299">IF(ISNUMBER(G412),G412,0)</f>
        <v>0.54</v>
      </c>
      <c r="AJ412" s="95">
        <f t="shared" ref="AJ412:AJ419" si="300">IF(ISNUMBER(N412),IF(N412&gt;0,N412,0),$AI412)</f>
        <v>0.54</v>
      </c>
      <c r="AK412" s="95">
        <f t="shared" ref="AK412:AK419" si="301">IF(ISNUMBER(U412),IF(U412&gt;0,U412,0),$AI412)</f>
        <v>0.54</v>
      </c>
      <c r="AL412" s="65"/>
      <c r="AM412" s="96">
        <f>AE421</f>
        <v>1</v>
      </c>
      <c r="AN412" s="96">
        <f>AF421</f>
        <v>0</v>
      </c>
      <c r="AO412" s="96">
        <f>AG421</f>
        <v>0</v>
      </c>
      <c r="AP412" s="65">
        <f t="shared" ref="AP412:AP419" si="302">IF(AI412&lt;&gt;0,Z412/1000/SUMPRODUCT(AM412:AO412,AI412:AK412),0)</f>
        <v>2.7777777777777776E-2</v>
      </c>
      <c r="AQ412" s="65"/>
      <c r="AR412" s="65"/>
      <c r="AS412" s="65"/>
      <c r="AT412" s="95">
        <f>IF(ISNUMBER(H412),H412*F412*Z412/1000*Balance!$H$13/J412,0)</f>
        <v>4.6171785378174111</v>
      </c>
      <c r="AU412" s="95">
        <f>IF(ISTEXT(K412),IF(ISNUMBER(O412),O412*M412*Z412/1000*Balance!$H$13/Q412,0),AT412)</f>
        <v>4.6171785378174111</v>
      </c>
      <c r="AV412" s="95">
        <f>IF(ISTEXT(R412),IF(ISNUMBER(V412),V412*T412*Z412/1000*Balance!$H$13/X412,0),AT412)</f>
        <v>4.6171785378174111</v>
      </c>
      <c r="AW412" s="99"/>
      <c r="AX412" s="95">
        <f>AT412*AX410</f>
        <v>4.6171785378174111</v>
      </c>
      <c r="AY412" s="95">
        <f>AU412*AY410</f>
        <v>0</v>
      </c>
      <c r="AZ412" s="95">
        <f>AV412*AZ410</f>
        <v>0</v>
      </c>
      <c r="BA412" s="95">
        <f>SUM(AX412:AZ412)</f>
        <v>4.6171785378174111</v>
      </c>
      <c r="BB412" s="65"/>
      <c r="BC412" s="95">
        <f>IF(ISNUMBER(I412),I412*F412*Z412/1000*Balance!$H$13/J412,0)</f>
        <v>0.88832721792063762</v>
      </c>
      <c r="BD412" s="95">
        <f>IF(ISTEXT(K412),IF(ISNUMBER(P412),P412*M412*Z412/1000*Balance!$H$13/Q412,0),BC412)</f>
        <v>0.88832721792063762</v>
      </c>
      <c r="BE412" s="95">
        <f>IF(ISTEXT(R412),IF(ISNUMBER(W412),W412*T412*Z412/1000*Balance!$H$13/X412,0),BC412)</f>
        <v>0.88832721792063762</v>
      </c>
      <c r="BF412" s="99"/>
      <c r="BG412" s="95">
        <f>BC412*BG410</f>
        <v>0.88832721792063762</v>
      </c>
      <c r="BH412" s="95">
        <f>BD412*BH410</f>
        <v>0</v>
      </c>
      <c r="BI412" s="95">
        <f>BE412*BI410</f>
        <v>0</v>
      </c>
      <c r="BJ412" s="95">
        <f>SUM(BG412:BI412)</f>
        <v>0.88832721792063762</v>
      </c>
      <c r="BK412" s="65"/>
      <c r="BL412" s="65"/>
      <c r="BM412" s="65"/>
    </row>
    <row r="413" spans="2:65" outlineLevel="1" x14ac:dyDescent="0.25">
      <c r="B413" s="201"/>
      <c r="C413" s="91"/>
      <c r="D413" s="418" t="s">
        <v>1025</v>
      </c>
      <c r="E413" s="407"/>
      <c r="F413" s="94">
        <v>1</v>
      </c>
      <c r="G413" s="136">
        <f>IF(ISNUMBER(VLOOKUP(LEFT(D413,3),'Material editor'!$D$11:$H$110,'Material editor'!$E$8,0)),VLOOKUP(LEFT(D413,3),'Material editor'!$D$11:$H$110,'Material editor'!$E$8,0),"")</f>
        <v>1</v>
      </c>
      <c r="H413" s="137">
        <f>IF(ISNUMBER(VLOOKUP(LEFT(D413,3),'Material editor'!$D$11:$H$110,'Material editor'!$F$8,0)),VLOOKUP(LEFT(D413,3),'Material editor'!$D$11:$H$110,'Material editor'!$F$8,0),"")</f>
        <v>614.05957752709162</v>
      </c>
      <c r="I413" s="137">
        <f>IF(ISNUMBER(VLOOKUP(LEFT(D413,3),'Material editor'!$D$11:$H$110,'Material editor'!$G$8,0)),VLOOKUP(LEFT(D413,3),'Material editor'!$D$11:$H$110,'Material editor'!$G$8,0),"")</f>
        <v>302.58299751328502</v>
      </c>
      <c r="J413" s="137">
        <f>IF(ISNUMBER(VLOOKUP(LEFT(D413,3),'Material editor'!$D$11:$H$110,'Material editor'!$H$8,0)),VLOOKUP(LEFT(D413,3),'Material editor'!$D$11:$H$110,'Material editor'!$H$8,0),"")</f>
        <v>80</v>
      </c>
      <c r="K413" s="418"/>
      <c r="L413" s="407"/>
      <c r="M413" s="94"/>
      <c r="N413" s="136" t="str">
        <f>IF(ISNUMBER(VLOOKUP(LEFT(K413,3),'Material editor'!$D$11:$H$110,'Material editor'!$E$8,0)),VLOOKUP(LEFT(K413,3),'Material editor'!$D$11:$H$110,'Material editor'!$E$8,0),"")</f>
        <v/>
      </c>
      <c r="O413" s="137" t="str">
        <f>IF(ISNUMBER(VLOOKUP(LEFT(K413,3),'Material editor'!$D$11:$H$110,'Material editor'!$F$8,0)),VLOOKUP(LEFT(K413,3),'Material editor'!$D$11:$H$110,'Material editor'!$F$8,0),"")</f>
        <v/>
      </c>
      <c r="P413" s="137" t="str">
        <f>IF(ISNUMBER(VLOOKUP(LEFT(K413,3),'Material editor'!$D$11:$H$110,'Material editor'!$G$8,0)),VLOOKUP(LEFT(K413,3),'Material editor'!$D$11:$H$110,'Material editor'!$G$8,0),"")</f>
        <v/>
      </c>
      <c r="Q413" s="137" t="str">
        <f>IF(ISNUMBER(VLOOKUP(LEFT(K413,3),'Material editor'!$D$11:$H$110,'Material editor'!$H$8,0)),VLOOKUP(LEFT(K413,3),'Material editor'!$D$11:$H$110,'Material editor'!$H$8,0),"")</f>
        <v/>
      </c>
      <c r="R413" s="418"/>
      <c r="S413" s="407"/>
      <c r="T413" s="94"/>
      <c r="U413" s="136" t="str">
        <f>IF(ISNUMBER(VLOOKUP(LEFT(R413,3),'Material editor'!$D$11:$H$110,'Material editor'!$E$8,0)),VLOOKUP(LEFT(R413,3),'Material editor'!$D$11:$H$110,'Material editor'!$E$8,0),"")</f>
        <v/>
      </c>
      <c r="V413" s="137" t="str">
        <f>IF(ISNUMBER(VLOOKUP(LEFT(R413,3),'Material editor'!$D$11:$H$110,'Material editor'!$F$8,0)),VLOOKUP(LEFT(R413,3),'Material editor'!$D$11:$H$110,'Material editor'!$F$8,0),"")</f>
        <v/>
      </c>
      <c r="W413" s="137" t="str">
        <f>IF(ISNUMBER(VLOOKUP(LEFT(R413,3),'Material editor'!$D$11:$H$110,'Material editor'!$G$8,0)),VLOOKUP(LEFT(R413,3),'Material editor'!$D$11:$H$110,'Material editor'!$G$8,0),"")</f>
        <v/>
      </c>
      <c r="X413" s="137" t="str">
        <f>IF(ISNUMBER(VLOOKUP(LEFT(R413,3),'Material editor'!$D$11:$H$110,'Material editor'!$H$8,0)),VLOOKUP(LEFT(R413,3),'Material editor'!$D$11:$H$110,'Material editor'!$H$8,0),"")</f>
        <v/>
      </c>
      <c r="Y413" s="74"/>
      <c r="Z413" s="94">
        <v>175</v>
      </c>
      <c r="AA413" s="8"/>
      <c r="AB413" s="61"/>
      <c r="AC413" s="65"/>
      <c r="AD413" s="65"/>
      <c r="AE413" s="95">
        <f t="shared" si="296"/>
        <v>0.17499999999999999</v>
      </c>
      <c r="AF413" s="95">
        <f t="shared" si="297"/>
        <v>0.17499999999999999</v>
      </c>
      <c r="AG413" s="95">
        <f t="shared" si="298"/>
        <v>0.17499999999999999</v>
      </c>
      <c r="AH413" s="65"/>
      <c r="AI413" s="95">
        <f t="shared" si="299"/>
        <v>1</v>
      </c>
      <c r="AJ413" s="95">
        <f t="shared" si="300"/>
        <v>1</v>
      </c>
      <c r="AK413" s="95">
        <f t="shared" si="301"/>
        <v>1</v>
      </c>
      <c r="AL413" s="65"/>
      <c r="AM413" s="96">
        <f t="shared" ref="AM413:AO413" si="303">AM412</f>
        <v>1</v>
      </c>
      <c r="AN413" s="96">
        <f t="shared" si="303"/>
        <v>0</v>
      </c>
      <c r="AO413" s="96">
        <f t="shared" si="303"/>
        <v>0</v>
      </c>
      <c r="AP413" s="65">
        <f t="shared" si="302"/>
        <v>0.17499999999999999</v>
      </c>
      <c r="AQ413" s="65"/>
      <c r="AR413" s="65"/>
      <c r="AS413" s="65"/>
      <c r="AT413" s="95">
        <f>IF(ISNUMBER(H413),H413*F413*Z413/1000*Balance!$H$13/J413,0)</f>
        <v>26.865106516810261</v>
      </c>
      <c r="AU413" s="95">
        <f>IF(ISTEXT(K413),IF(ISNUMBER(O413),O413*M413*Z413/1000*Balance!$H$13/Q413,0),AT413)</f>
        <v>26.865106516810261</v>
      </c>
      <c r="AV413" s="95">
        <f>IF(ISTEXT(R413),IF(ISNUMBER(V413),V413*T413*Z413/1000*Balance!$H$13/X413,0),AT413)</f>
        <v>26.865106516810261</v>
      </c>
      <c r="AW413" s="65"/>
      <c r="AX413" s="95">
        <f>AT413*AX410</f>
        <v>26.865106516810261</v>
      </c>
      <c r="AY413" s="95">
        <f>AU413*AY410</f>
        <v>0</v>
      </c>
      <c r="AZ413" s="95">
        <f>AV413*AZ410</f>
        <v>0</v>
      </c>
      <c r="BA413" s="95">
        <f t="shared" ref="BA413:BA419" si="304">SUM(AX413:AZ413)</f>
        <v>26.865106516810261</v>
      </c>
      <c r="BB413" s="65"/>
      <c r="BC413" s="95">
        <f>IF(ISNUMBER(I413),I413*F413*Z413/1000*Balance!$H$13/J413,0)</f>
        <v>13.238006141206222</v>
      </c>
      <c r="BD413" s="95">
        <f>IF(ISTEXT(K413),IF(ISNUMBER(P413),P413*M413*Z413/1000*Balance!$H$13/Q413,0),BC413)</f>
        <v>13.238006141206222</v>
      </c>
      <c r="BE413" s="95">
        <f>IF(ISTEXT(R413),IF(ISNUMBER(W413),W413*T413*Z413/1000*Balance!$H$13/X413,0),BC413)</f>
        <v>13.238006141206222</v>
      </c>
      <c r="BF413" s="65"/>
      <c r="BG413" s="95">
        <f>BC413*BG410</f>
        <v>13.238006141206222</v>
      </c>
      <c r="BH413" s="95">
        <f>BD413*BH410</f>
        <v>0</v>
      </c>
      <c r="BI413" s="95">
        <f>BE413*BI410</f>
        <v>0</v>
      </c>
      <c r="BJ413" s="95">
        <f t="shared" ref="BJ413:BJ419" si="305">SUM(BG413:BI413)</f>
        <v>13.238006141206222</v>
      </c>
      <c r="BK413" s="65"/>
      <c r="BL413" s="65"/>
      <c r="BM413" s="65"/>
    </row>
    <row r="414" spans="2:65" outlineLevel="1" x14ac:dyDescent="0.25">
      <c r="B414" s="201"/>
      <c r="C414" s="91"/>
      <c r="D414" s="418" t="s">
        <v>1008</v>
      </c>
      <c r="E414" s="407"/>
      <c r="F414" s="94">
        <v>1</v>
      </c>
      <c r="G414" s="136">
        <f>IF(ISNUMBER(VLOOKUP(LEFT(D414,3),'Material editor'!$D$11:$H$110,'Material editor'!$E$8,0)),VLOOKUP(LEFT(D414,3),'Material editor'!$D$11:$H$110,'Material editor'!$E$8,0),"")</f>
        <v>3.5000000000000003E-2</v>
      </c>
      <c r="H414" s="137">
        <f>IF(ISNUMBER(VLOOKUP(LEFT(D414,3),'Material editor'!$D$11:$H$110,'Material editor'!$F$8,0)),VLOOKUP(LEFT(D414,3),'Material editor'!$D$11:$H$110,'Material editor'!$F$8,0),"")</f>
        <v>679.51079196710771</v>
      </c>
      <c r="I414" s="137">
        <f>IF(ISNUMBER(VLOOKUP(LEFT(D414,3),'Material editor'!$D$11:$H$110,'Material editor'!$G$8,0)),VLOOKUP(LEFT(D414,3),'Material editor'!$D$11:$H$110,'Material editor'!$G$8,0),"")</f>
        <v>207.98677030368501</v>
      </c>
      <c r="J414" s="137">
        <f>IF(ISNUMBER(VLOOKUP(LEFT(D414,3),'Material editor'!$D$11:$H$110,'Material editor'!$H$8,0)),VLOOKUP(LEFT(D414,3),'Material editor'!$D$11:$H$110,'Material editor'!$H$8,0),"")</f>
        <v>40</v>
      </c>
      <c r="K414" s="418"/>
      <c r="L414" s="407"/>
      <c r="M414" s="94"/>
      <c r="N414" s="136" t="str">
        <f>IF(ISNUMBER(VLOOKUP(LEFT(K414,3),'Material editor'!$D$11:$H$110,'Material editor'!$E$8,0)),VLOOKUP(LEFT(K414,3),'Material editor'!$D$11:$H$110,'Material editor'!$E$8,0),"")</f>
        <v/>
      </c>
      <c r="O414" s="137" t="str">
        <f>IF(ISNUMBER(VLOOKUP(LEFT(K414,3),'Material editor'!$D$11:$H$110,'Material editor'!$F$8,0)),VLOOKUP(LEFT(K414,3),'Material editor'!$D$11:$H$110,'Material editor'!$F$8,0),"")</f>
        <v/>
      </c>
      <c r="P414" s="137" t="str">
        <f>IF(ISNUMBER(VLOOKUP(LEFT(K414,3),'Material editor'!$D$11:$H$110,'Material editor'!$G$8,0)),VLOOKUP(LEFT(K414,3),'Material editor'!$D$11:$H$110,'Material editor'!$G$8,0),"")</f>
        <v/>
      </c>
      <c r="Q414" s="137" t="str">
        <f>IF(ISNUMBER(VLOOKUP(LEFT(K414,3),'Material editor'!$D$11:$H$110,'Material editor'!$H$8,0)),VLOOKUP(LEFT(K414,3),'Material editor'!$D$11:$H$110,'Material editor'!$H$8,0),"")</f>
        <v/>
      </c>
      <c r="R414" s="418"/>
      <c r="S414" s="407"/>
      <c r="T414" s="94"/>
      <c r="U414" s="136" t="str">
        <f>IF(ISNUMBER(VLOOKUP(LEFT(R414,3),'Material editor'!$D$11:$H$110,'Material editor'!$E$8,0)),VLOOKUP(LEFT(R414,3),'Material editor'!$D$11:$H$110,'Material editor'!$E$8,0),"")</f>
        <v/>
      </c>
      <c r="V414" s="137" t="str">
        <f>IF(ISNUMBER(VLOOKUP(LEFT(R414,3),'Material editor'!$D$11:$H$110,'Material editor'!$F$8,0)),VLOOKUP(LEFT(R414,3),'Material editor'!$D$11:$H$110,'Material editor'!$F$8,0),"")</f>
        <v/>
      </c>
      <c r="W414" s="137" t="str">
        <f>IF(ISNUMBER(VLOOKUP(LEFT(R414,3),'Material editor'!$D$11:$H$110,'Material editor'!$G$8,0)),VLOOKUP(LEFT(R414,3),'Material editor'!$D$11:$H$110,'Material editor'!$G$8,0),"")</f>
        <v/>
      </c>
      <c r="X414" s="137" t="str">
        <f>IF(ISNUMBER(VLOOKUP(LEFT(R414,3),'Material editor'!$D$11:$H$110,'Material editor'!$H$8,0)),VLOOKUP(LEFT(R414,3),'Material editor'!$D$11:$H$110,'Material editor'!$H$8,0),"")</f>
        <v/>
      </c>
      <c r="Y414" s="74"/>
      <c r="Z414" s="94">
        <v>223</v>
      </c>
      <c r="AA414" s="8"/>
      <c r="AB414" s="61"/>
      <c r="AC414" s="65"/>
      <c r="AD414" s="65"/>
      <c r="AE414" s="95">
        <f t="shared" si="296"/>
        <v>6.371428571428571</v>
      </c>
      <c r="AF414" s="95">
        <f t="shared" si="297"/>
        <v>6.371428571428571</v>
      </c>
      <c r="AG414" s="95">
        <f t="shared" si="298"/>
        <v>6.371428571428571</v>
      </c>
      <c r="AH414" s="65"/>
      <c r="AI414" s="95">
        <f t="shared" si="299"/>
        <v>3.5000000000000003E-2</v>
      </c>
      <c r="AJ414" s="95">
        <f t="shared" si="300"/>
        <v>3.5000000000000003E-2</v>
      </c>
      <c r="AK414" s="95">
        <f t="shared" si="301"/>
        <v>3.5000000000000003E-2</v>
      </c>
      <c r="AL414" s="65"/>
      <c r="AM414" s="96">
        <f t="shared" ref="AM414:AO414" si="306">AM413</f>
        <v>1</v>
      </c>
      <c r="AN414" s="96">
        <f t="shared" si="306"/>
        <v>0</v>
      </c>
      <c r="AO414" s="96">
        <f t="shared" si="306"/>
        <v>0</v>
      </c>
      <c r="AP414" s="65">
        <f t="shared" si="302"/>
        <v>6.371428571428571</v>
      </c>
      <c r="AQ414" s="65"/>
      <c r="AR414" s="65"/>
      <c r="AS414" s="65"/>
      <c r="AT414" s="95">
        <f>IF(ISNUMBER(H414),H414*F414*Z414/1000*Balance!$H$13/J414,0)</f>
        <v>75.76545330433251</v>
      </c>
      <c r="AU414" s="95">
        <f>IF(ISTEXT(K414),IF(ISNUMBER(O414),O414*M414*Z414/1000*Balance!$H$13/Q414,0),AT414)</f>
        <v>75.76545330433251</v>
      </c>
      <c r="AV414" s="95">
        <f>IF(ISTEXT(R414),IF(ISNUMBER(V414),V414*T414*Z414/1000*Balance!$H$13/X414,0),AT414)</f>
        <v>75.76545330433251</v>
      </c>
      <c r="AW414" s="65"/>
      <c r="AX414" s="95">
        <f>AT414*AX410</f>
        <v>75.76545330433251</v>
      </c>
      <c r="AY414" s="95">
        <f>AU414*AY410</f>
        <v>0</v>
      </c>
      <c r="AZ414" s="95">
        <f>AV414*AZ410</f>
        <v>0</v>
      </c>
      <c r="BA414" s="95">
        <f t="shared" si="304"/>
        <v>75.76545330433251</v>
      </c>
      <c r="BB414" s="65"/>
      <c r="BC414" s="95">
        <f>IF(ISNUMBER(I414),I414*F414*Z414/1000*Balance!$H$13/J414,0)</f>
        <v>23.190524888860878</v>
      </c>
      <c r="BD414" s="95">
        <f>IF(ISTEXT(K414),IF(ISNUMBER(P414),P414*M414*Z414/1000*Balance!$H$13/Q414,0),BC414)</f>
        <v>23.190524888860878</v>
      </c>
      <c r="BE414" s="95">
        <f>IF(ISTEXT(R414),IF(ISNUMBER(W414),W414*T414*Z414/1000*Balance!$H$13/X414,0),BC414)</f>
        <v>23.190524888860878</v>
      </c>
      <c r="BF414" s="65"/>
      <c r="BG414" s="95">
        <f>BC414*BG410</f>
        <v>23.190524888860878</v>
      </c>
      <c r="BH414" s="95">
        <f>BD414*BH410</f>
        <v>0</v>
      </c>
      <c r="BI414" s="95">
        <f>BE414*BI410</f>
        <v>0</v>
      </c>
      <c r="BJ414" s="95">
        <f t="shared" si="305"/>
        <v>23.190524888860878</v>
      </c>
      <c r="BK414" s="65"/>
      <c r="BL414" s="65"/>
      <c r="BM414" s="65"/>
    </row>
    <row r="415" spans="2:65" outlineLevel="1" x14ac:dyDescent="0.25">
      <c r="B415" s="201"/>
      <c r="C415" s="91"/>
      <c r="D415" s="418" t="s">
        <v>1026</v>
      </c>
      <c r="E415" s="419"/>
      <c r="F415" s="94">
        <v>1</v>
      </c>
      <c r="G415" s="136">
        <f>IF(ISNUMBER(VLOOKUP(LEFT(D415,3),'Material editor'!$D$11:$H$110,'Material editor'!$E$8,0)),VLOOKUP(LEFT(D415,3),'Material editor'!$D$11:$H$110,'Material editor'!$E$8,0),"")</f>
        <v>0.7</v>
      </c>
      <c r="H415" s="137">
        <f>IF(ISNUMBER(VLOOKUP(LEFT(D415,3),'Material editor'!$D$11:$H$110,'Material editor'!$F$8,0)),VLOOKUP(LEFT(D415,3),'Material editor'!$D$11:$H$110,'Material editor'!$F$8,0),"")</f>
        <v>496.23211201094273</v>
      </c>
      <c r="I415" s="137">
        <f>IF(ISNUMBER(VLOOKUP(LEFT(D415,3),'Material editor'!$D$11:$H$110,'Material editor'!$G$8,0)),VLOOKUP(LEFT(D415,3),'Material editor'!$D$11:$H$110,'Material editor'!$G$8,0),"")</f>
        <v>103.94883076360401</v>
      </c>
      <c r="J415" s="137">
        <f>IF(ISNUMBER(VLOOKUP(LEFT(D415,3),'Material editor'!$D$11:$H$110,'Material editor'!$H$8,0)),VLOOKUP(LEFT(D415,3),'Material editor'!$D$11:$H$110,'Material editor'!$H$8,0),"")</f>
        <v>40</v>
      </c>
      <c r="K415" s="418"/>
      <c r="L415" s="407"/>
      <c r="M415" s="94"/>
      <c r="N415" s="136" t="str">
        <f>IF(ISNUMBER(VLOOKUP(LEFT(K415,3),'Material editor'!$D$11:$H$110,'Material editor'!$E$8,0)),VLOOKUP(LEFT(K415,3),'Material editor'!$D$11:$H$110,'Material editor'!$E$8,0),"")</f>
        <v/>
      </c>
      <c r="O415" s="137" t="str">
        <f>IF(ISNUMBER(VLOOKUP(LEFT(K415,3),'Material editor'!$D$11:$H$110,'Material editor'!$F$8,0)),VLOOKUP(LEFT(K415,3),'Material editor'!$D$11:$H$110,'Material editor'!$F$8,0),"")</f>
        <v/>
      </c>
      <c r="P415" s="137" t="str">
        <f>IF(ISNUMBER(VLOOKUP(LEFT(K415,3),'Material editor'!$D$11:$H$110,'Material editor'!$G$8,0)),VLOOKUP(LEFT(K415,3),'Material editor'!$D$11:$H$110,'Material editor'!$G$8,0),"")</f>
        <v/>
      </c>
      <c r="Q415" s="137" t="str">
        <f>IF(ISNUMBER(VLOOKUP(LEFT(K415,3),'Material editor'!$D$11:$H$110,'Material editor'!$H$8,0)),VLOOKUP(LEFT(K415,3),'Material editor'!$D$11:$H$110,'Material editor'!$H$8,0),"")</f>
        <v/>
      </c>
      <c r="R415" s="418"/>
      <c r="S415" s="407"/>
      <c r="T415" s="94"/>
      <c r="U415" s="136" t="str">
        <f>IF(ISNUMBER(VLOOKUP(LEFT(R415,3),'Material editor'!$D$11:$H$110,'Material editor'!$E$8,0)),VLOOKUP(LEFT(R415,3),'Material editor'!$D$11:$H$110,'Material editor'!$E$8,0),"")</f>
        <v/>
      </c>
      <c r="V415" s="137" t="str">
        <f>IF(ISNUMBER(VLOOKUP(LEFT(R415,3),'Material editor'!$D$11:$H$110,'Material editor'!$F$8,0)),VLOOKUP(LEFT(R415,3),'Material editor'!$D$11:$H$110,'Material editor'!$F$8,0),"")</f>
        <v/>
      </c>
      <c r="W415" s="137" t="str">
        <f>IF(ISNUMBER(VLOOKUP(LEFT(R415,3),'Material editor'!$D$11:$H$110,'Material editor'!$G$8,0)),VLOOKUP(LEFT(R415,3),'Material editor'!$D$11:$H$110,'Material editor'!$G$8,0),"")</f>
        <v/>
      </c>
      <c r="X415" s="137" t="str">
        <f>IF(ISNUMBER(VLOOKUP(LEFT(R415,3),'Material editor'!$D$11:$H$110,'Material editor'!$H$8,0)),VLOOKUP(LEFT(R415,3),'Material editor'!$D$11:$H$110,'Material editor'!$H$8,0),"")</f>
        <v/>
      </c>
      <c r="Y415" s="74"/>
      <c r="Z415" s="94">
        <v>4</v>
      </c>
      <c r="AA415" s="8"/>
      <c r="AB415" s="61"/>
      <c r="AC415" s="65"/>
      <c r="AD415" s="65"/>
      <c r="AE415" s="95">
        <f t="shared" si="296"/>
        <v>5.7142857142857151E-3</v>
      </c>
      <c r="AF415" s="95">
        <f t="shared" si="297"/>
        <v>5.7142857142857151E-3</v>
      </c>
      <c r="AG415" s="95">
        <f t="shared" si="298"/>
        <v>5.7142857142857151E-3</v>
      </c>
      <c r="AH415" s="65"/>
      <c r="AI415" s="95">
        <f t="shared" si="299"/>
        <v>0.7</v>
      </c>
      <c r="AJ415" s="95">
        <f t="shared" si="300"/>
        <v>0.7</v>
      </c>
      <c r="AK415" s="95">
        <f t="shared" si="301"/>
        <v>0.7</v>
      </c>
      <c r="AL415" s="65"/>
      <c r="AM415" s="96">
        <f t="shared" ref="AM415:AO415" si="307">AM414</f>
        <v>1</v>
      </c>
      <c r="AN415" s="96">
        <f t="shared" si="307"/>
        <v>0</v>
      </c>
      <c r="AO415" s="96">
        <f t="shared" si="307"/>
        <v>0</v>
      </c>
      <c r="AP415" s="65">
        <f t="shared" si="302"/>
        <v>5.7142857142857151E-3</v>
      </c>
      <c r="AQ415" s="65"/>
      <c r="AR415" s="65"/>
      <c r="AS415" s="65"/>
      <c r="AT415" s="95">
        <f>IF(ISNUMBER(H415),H415*F415*Z415/1000*Balance!$H$13/J415,0)</f>
        <v>0.9924642240218855</v>
      </c>
      <c r="AU415" s="95">
        <f>IF(ISTEXT(K415),IF(ISNUMBER(O415),O415*M415*Z415/1000*Balance!$H$13/Q415,0),AT415)</f>
        <v>0.9924642240218855</v>
      </c>
      <c r="AV415" s="95">
        <f>IF(ISTEXT(R415),IF(ISNUMBER(V415),V415*T415*Z415/1000*Balance!$H$13/X415,0),AT415)</f>
        <v>0.9924642240218855</v>
      </c>
      <c r="AW415" s="65"/>
      <c r="AX415" s="95">
        <f>AT415*AX410</f>
        <v>0.9924642240218855</v>
      </c>
      <c r="AY415" s="95">
        <f>AU415*AY410</f>
        <v>0</v>
      </c>
      <c r="AZ415" s="95">
        <f>AV415*AZ410</f>
        <v>0</v>
      </c>
      <c r="BA415" s="95">
        <f t="shared" si="304"/>
        <v>0.9924642240218855</v>
      </c>
      <c r="BB415" s="65"/>
      <c r="BC415" s="95">
        <f>IF(ISNUMBER(I415),I415*F415*Z415/1000*Balance!$H$13/J415,0)</f>
        <v>0.20789766152720804</v>
      </c>
      <c r="BD415" s="95">
        <f>IF(ISTEXT(K415),IF(ISNUMBER(P415),P415*M415*Z415/1000*Balance!$H$13/Q415,0),BC415)</f>
        <v>0.20789766152720804</v>
      </c>
      <c r="BE415" s="95">
        <f>IF(ISTEXT(R415),IF(ISNUMBER(W415),W415*T415*Z415/1000*Balance!$H$13/X415,0),BC415)</f>
        <v>0.20789766152720804</v>
      </c>
      <c r="BF415" s="65"/>
      <c r="BG415" s="95">
        <f>BC415*BG410</f>
        <v>0.20789766152720804</v>
      </c>
      <c r="BH415" s="95">
        <f>BD415*BH410</f>
        <v>0</v>
      </c>
      <c r="BI415" s="95">
        <f>BE415*BI410</f>
        <v>0</v>
      </c>
      <c r="BJ415" s="95">
        <f t="shared" si="305"/>
        <v>0.20789766152720804</v>
      </c>
      <c r="BK415" s="65"/>
      <c r="BL415" s="65"/>
      <c r="BM415" s="65"/>
    </row>
    <row r="416" spans="2:65" outlineLevel="1" x14ac:dyDescent="0.25">
      <c r="B416" s="201"/>
      <c r="C416" s="91"/>
      <c r="D416" s="418" t="s">
        <v>1027</v>
      </c>
      <c r="E416" s="419"/>
      <c r="F416" s="94">
        <v>1</v>
      </c>
      <c r="G416" s="136">
        <f>IF(ISNUMBER(VLOOKUP(LEFT(D416,3),'Material editor'!$D$11:$H$110,'Material editor'!$E$8,0)),VLOOKUP(LEFT(D416,3),'Material editor'!$D$11:$H$110,'Material editor'!$E$8,0),"")</f>
        <v>1</v>
      </c>
      <c r="H416" s="137">
        <f>IF(ISNUMBER(VLOOKUP(LEFT(D416,3),'Material editor'!$D$11:$H$110,'Material editor'!$F$8,0)),VLOOKUP(LEFT(D416,3),'Material editor'!$D$11:$H$110,'Material editor'!$F$8,0),"")</f>
        <v>905.22046069906946</v>
      </c>
      <c r="I416" s="137">
        <f>IF(ISNUMBER(VLOOKUP(LEFT(D416,3),'Material editor'!$D$11:$H$110,'Material editor'!$G$8,0)),VLOOKUP(LEFT(D416,3),'Material editor'!$D$11:$H$110,'Material editor'!$G$8,0),"")</f>
        <v>354.91241395986202</v>
      </c>
      <c r="J416" s="137">
        <f>IF(ISNUMBER(VLOOKUP(LEFT(D416,3),'Material editor'!$D$11:$H$110,'Material editor'!$H$8,0)),VLOOKUP(LEFT(D416,3),'Material editor'!$D$11:$H$110,'Material editor'!$H$8,0),"")</f>
        <v>40</v>
      </c>
      <c r="K416" s="418"/>
      <c r="L416" s="407"/>
      <c r="M416" s="94"/>
      <c r="N416" s="136" t="str">
        <f>IF(ISNUMBER(VLOOKUP(LEFT(K416,3),'Material editor'!$D$11:$H$110,'Material editor'!$E$8,0)),VLOOKUP(LEFT(K416,3),'Material editor'!$D$11:$H$110,'Material editor'!$E$8,0),"")</f>
        <v/>
      </c>
      <c r="O416" s="137" t="str">
        <f>IF(ISNUMBER(VLOOKUP(LEFT(K416,3),'Material editor'!$D$11:$H$110,'Material editor'!$F$8,0)),VLOOKUP(LEFT(K416,3),'Material editor'!$D$11:$H$110,'Material editor'!$F$8,0),"")</f>
        <v/>
      </c>
      <c r="P416" s="137" t="str">
        <f>IF(ISNUMBER(VLOOKUP(LEFT(K416,3),'Material editor'!$D$11:$H$110,'Material editor'!$G$8,0)),VLOOKUP(LEFT(K416,3),'Material editor'!$D$11:$H$110,'Material editor'!$G$8,0),"")</f>
        <v/>
      </c>
      <c r="Q416" s="137" t="str">
        <f>IF(ISNUMBER(VLOOKUP(LEFT(K416,3),'Material editor'!$D$11:$H$110,'Material editor'!$H$8,0)),VLOOKUP(LEFT(K416,3),'Material editor'!$D$11:$H$110,'Material editor'!$H$8,0),"")</f>
        <v/>
      </c>
      <c r="R416" s="418"/>
      <c r="S416" s="407"/>
      <c r="T416" s="94"/>
      <c r="U416" s="136" t="str">
        <f>IF(ISNUMBER(VLOOKUP(LEFT(R416,3),'Material editor'!$D$11:$H$110,'Material editor'!$E$8,0)),VLOOKUP(LEFT(R416,3),'Material editor'!$D$11:$H$110,'Material editor'!$E$8,0),"")</f>
        <v/>
      </c>
      <c r="V416" s="137" t="str">
        <f>IF(ISNUMBER(VLOOKUP(LEFT(R416,3),'Material editor'!$D$11:$H$110,'Material editor'!$F$8,0)),VLOOKUP(LEFT(R416,3),'Material editor'!$D$11:$H$110,'Material editor'!$F$8,0),"")</f>
        <v/>
      </c>
      <c r="W416" s="137" t="str">
        <f>IF(ISNUMBER(VLOOKUP(LEFT(R416,3),'Material editor'!$D$11:$H$110,'Material editor'!$G$8,0)),VLOOKUP(LEFT(R416,3),'Material editor'!$D$11:$H$110,'Material editor'!$G$8,0),"")</f>
        <v/>
      </c>
      <c r="X416" s="137" t="str">
        <f>IF(ISNUMBER(VLOOKUP(LEFT(R416,3),'Material editor'!$D$11:$H$110,'Material editor'!$H$8,0)),VLOOKUP(LEFT(R416,3),'Material editor'!$D$11:$H$110,'Material editor'!$H$8,0),"")</f>
        <v/>
      </c>
      <c r="Y416" s="74"/>
      <c r="Z416" s="94">
        <v>20</v>
      </c>
      <c r="AA416" s="8"/>
      <c r="AB416" s="61"/>
      <c r="AC416" s="65"/>
      <c r="AD416" s="65"/>
      <c r="AE416" s="95">
        <f t="shared" si="296"/>
        <v>0.02</v>
      </c>
      <c r="AF416" s="95">
        <f t="shared" si="297"/>
        <v>0.02</v>
      </c>
      <c r="AG416" s="95">
        <f t="shared" si="298"/>
        <v>0.02</v>
      </c>
      <c r="AH416" s="65"/>
      <c r="AI416" s="95">
        <f t="shared" si="299"/>
        <v>1</v>
      </c>
      <c r="AJ416" s="95">
        <f t="shared" si="300"/>
        <v>1</v>
      </c>
      <c r="AK416" s="95">
        <f t="shared" si="301"/>
        <v>1</v>
      </c>
      <c r="AL416" s="65"/>
      <c r="AM416" s="96">
        <f t="shared" ref="AM416:AO416" si="308">AM415</f>
        <v>1</v>
      </c>
      <c r="AN416" s="96">
        <f t="shared" si="308"/>
        <v>0</v>
      </c>
      <c r="AO416" s="96">
        <f t="shared" si="308"/>
        <v>0</v>
      </c>
      <c r="AP416" s="65">
        <f t="shared" si="302"/>
        <v>0.02</v>
      </c>
      <c r="AQ416" s="65"/>
      <c r="AR416" s="65"/>
      <c r="AS416" s="65"/>
      <c r="AT416" s="95">
        <f>IF(ISNUMBER(H416),H416*F416*Z416/1000*Balance!$H$13/J416,0)</f>
        <v>9.0522046069906938</v>
      </c>
      <c r="AU416" s="95">
        <f>IF(ISTEXT(K416),IF(ISNUMBER(O416),O416*M416*Z416/1000*Balance!$H$13/Q416,0),AT416)</f>
        <v>9.0522046069906938</v>
      </c>
      <c r="AV416" s="95">
        <f>IF(ISTEXT(R416),IF(ISNUMBER(V416),V416*T416*Z416/1000*Balance!$H$13/X416,0),AT416)</f>
        <v>9.0522046069906938</v>
      </c>
      <c r="AW416" s="65"/>
      <c r="AX416" s="95">
        <f>AT416*AX410</f>
        <v>9.0522046069906938</v>
      </c>
      <c r="AY416" s="95">
        <f>AU416*AY410</f>
        <v>0</v>
      </c>
      <c r="AZ416" s="95">
        <f>AV416*AZ410</f>
        <v>0</v>
      </c>
      <c r="BA416" s="95">
        <f t="shared" si="304"/>
        <v>9.0522046069906938</v>
      </c>
      <c r="BB416" s="65"/>
      <c r="BC416" s="95">
        <f>IF(ISNUMBER(I416),I416*F416*Z416/1000*Balance!$H$13/J416,0)</f>
        <v>3.5491241395986202</v>
      </c>
      <c r="BD416" s="95">
        <f>IF(ISTEXT(K416),IF(ISNUMBER(P416),P416*M416*Z416/1000*Balance!$H$13/Q416,0),BC416)</f>
        <v>3.5491241395986202</v>
      </c>
      <c r="BE416" s="95">
        <f>IF(ISTEXT(R416),IF(ISNUMBER(W416),W416*T416*Z416/1000*Balance!$H$13/X416,0),BC416)</f>
        <v>3.5491241395986202</v>
      </c>
      <c r="BF416" s="65"/>
      <c r="BG416" s="95">
        <f>BC416*BG410</f>
        <v>3.5491241395986202</v>
      </c>
      <c r="BH416" s="95">
        <f>BD416*BH410</f>
        <v>0</v>
      </c>
      <c r="BI416" s="95">
        <f>BE416*BI410</f>
        <v>0</v>
      </c>
      <c r="BJ416" s="95">
        <f t="shared" si="305"/>
        <v>3.5491241395986202</v>
      </c>
      <c r="BK416" s="65"/>
      <c r="BL416" s="65"/>
      <c r="BM416" s="65"/>
    </row>
    <row r="417" spans="2:65" outlineLevel="1" x14ac:dyDescent="0.25">
      <c r="B417" s="201"/>
      <c r="C417" s="91"/>
      <c r="D417" s="418"/>
      <c r="E417" s="407"/>
      <c r="F417" s="94"/>
      <c r="G417" s="136" t="str">
        <f>IF(ISNUMBER(VLOOKUP(LEFT(D417,3),'Material editor'!$D$11:$H$110,'Material editor'!$E$8,0)),VLOOKUP(LEFT(D417,3),'Material editor'!$D$11:$H$110,'Material editor'!$E$8,0),"")</f>
        <v/>
      </c>
      <c r="H417" s="137" t="str">
        <f>IF(ISNUMBER(VLOOKUP(LEFT(D417,3),'Material editor'!$D$11:$H$110,'Material editor'!$F$8,0)),VLOOKUP(LEFT(D417,3),'Material editor'!$D$11:$H$110,'Material editor'!$F$8,0),"")</f>
        <v/>
      </c>
      <c r="I417" s="137" t="str">
        <f>IF(ISNUMBER(VLOOKUP(LEFT(D417,3),'Material editor'!$D$11:$H$110,'Material editor'!$G$8,0)),VLOOKUP(LEFT(D417,3),'Material editor'!$D$11:$H$110,'Material editor'!$G$8,0),"")</f>
        <v/>
      </c>
      <c r="J417" s="137" t="str">
        <f>IF(ISNUMBER(VLOOKUP(LEFT(D417,3),'Material editor'!$D$11:$H$110,'Material editor'!$H$8,0)),VLOOKUP(LEFT(D417,3),'Material editor'!$D$11:$H$110,'Material editor'!$H$8,0),"")</f>
        <v/>
      </c>
      <c r="K417" s="418"/>
      <c r="L417" s="407"/>
      <c r="M417" s="94"/>
      <c r="N417" s="136" t="str">
        <f>IF(ISNUMBER(VLOOKUP(LEFT(K417,3),'Material editor'!$D$11:$H$110,'Material editor'!$E$8,0)),VLOOKUP(LEFT(K417,3),'Material editor'!$D$11:$H$110,'Material editor'!$E$8,0),"")</f>
        <v/>
      </c>
      <c r="O417" s="137" t="str">
        <f>IF(ISNUMBER(VLOOKUP(LEFT(K417,3),'Material editor'!$D$11:$H$110,'Material editor'!$F$8,0)),VLOOKUP(LEFT(K417,3),'Material editor'!$D$11:$H$110,'Material editor'!$F$8,0),"")</f>
        <v/>
      </c>
      <c r="P417" s="137" t="str">
        <f>IF(ISNUMBER(VLOOKUP(LEFT(K417,3),'Material editor'!$D$11:$H$110,'Material editor'!$G$8,0)),VLOOKUP(LEFT(K417,3),'Material editor'!$D$11:$H$110,'Material editor'!$G$8,0),"")</f>
        <v/>
      </c>
      <c r="Q417" s="137" t="str">
        <f>IF(ISNUMBER(VLOOKUP(LEFT(K417,3),'Material editor'!$D$11:$H$110,'Material editor'!$H$8,0)),VLOOKUP(LEFT(K417,3),'Material editor'!$D$11:$H$110,'Material editor'!$H$8,0),"")</f>
        <v/>
      </c>
      <c r="R417" s="418"/>
      <c r="S417" s="407"/>
      <c r="T417" s="94"/>
      <c r="U417" s="136" t="str">
        <f>IF(ISNUMBER(VLOOKUP(LEFT(R417,3),'Material editor'!$D$11:$H$110,'Material editor'!$E$8,0)),VLOOKUP(LEFT(R417,3),'Material editor'!$D$11:$H$110,'Material editor'!$E$8,0),"")</f>
        <v/>
      </c>
      <c r="V417" s="137" t="str">
        <f>IF(ISNUMBER(VLOOKUP(LEFT(R417,3),'Material editor'!$D$11:$H$110,'Material editor'!$F$8,0)),VLOOKUP(LEFT(R417,3),'Material editor'!$D$11:$H$110,'Material editor'!$F$8,0),"")</f>
        <v/>
      </c>
      <c r="W417" s="137" t="str">
        <f>IF(ISNUMBER(VLOOKUP(LEFT(R417,3),'Material editor'!$D$11:$H$110,'Material editor'!$G$8,0)),VLOOKUP(LEFT(R417,3),'Material editor'!$D$11:$H$110,'Material editor'!$G$8,0),"")</f>
        <v/>
      </c>
      <c r="X417" s="137" t="str">
        <f>IF(ISNUMBER(VLOOKUP(LEFT(R417,3),'Material editor'!$D$11:$H$110,'Material editor'!$H$8,0)),VLOOKUP(LEFT(R417,3),'Material editor'!$D$11:$H$110,'Material editor'!$H$8,0),"")</f>
        <v/>
      </c>
      <c r="Y417" s="74"/>
      <c r="Z417" s="94"/>
      <c r="AA417" s="8"/>
      <c r="AB417" s="61"/>
      <c r="AC417" s="65"/>
      <c r="AD417" s="65"/>
      <c r="AE417" s="95">
        <f t="shared" si="296"/>
        <v>0</v>
      </c>
      <c r="AF417" s="95">
        <f t="shared" si="297"/>
        <v>0</v>
      </c>
      <c r="AG417" s="95">
        <f t="shared" si="298"/>
        <v>0</v>
      </c>
      <c r="AH417" s="65"/>
      <c r="AI417" s="95">
        <f t="shared" si="299"/>
        <v>0</v>
      </c>
      <c r="AJ417" s="95">
        <f t="shared" si="300"/>
        <v>0</v>
      </c>
      <c r="AK417" s="95">
        <f t="shared" si="301"/>
        <v>0</v>
      </c>
      <c r="AL417" s="65"/>
      <c r="AM417" s="96">
        <f t="shared" ref="AM417:AO417" si="309">AM416</f>
        <v>1</v>
      </c>
      <c r="AN417" s="96">
        <f t="shared" si="309"/>
        <v>0</v>
      </c>
      <c r="AO417" s="96">
        <f t="shared" si="309"/>
        <v>0</v>
      </c>
      <c r="AP417" s="65">
        <f t="shared" si="302"/>
        <v>0</v>
      </c>
      <c r="AQ417" s="65"/>
      <c r="AR417" s="65"/>
      <c r="AS417" s="66"/>
      <c r="AT417" s="95">
        <f>IF(ISNUMBER(H417),H417*F417*Z417/1000*Balance!$H$13/J417,0)</f>
        <v>0</v>
      </c>
      <c r="AU417" s="95">
        <f>IF(ISTEXT(K417),IF(ISNUMBER(O417),O417*M417*Z417/1000*Balance!$H$13/Q417,0),AT417)</f>
        <v>0</v>
      </c>
      <c r="AV417" s="95">
        <f>IF(ISTEXT(R417),IF(ISNUMBER(V417),V417*T417*Z417/1000*Balance!$H$13/X417,0),AT417)</f>
        <v>0</v>
      </c>
      <c r="AW417" s="66"/>
      <c r="AX417" s="95">
        <f>AT417*AX410</f>
        <v>0</v>
      </c>
      <c r="AY417" s="95">
        <f>AU417*AY410</f>
        <v>0</v>
      </c>
      <c r="AZ417" s="95">
        <f>AV417*AZ410</f>
        <v>0</v>
      </c>
      <c r="BA417" s="95">
        <f t="shared" si="304"/>
        <v>0</v>
      </c>
      <c r="BB417" s="66"/>
      <c r="BC417" s="95">
        <f>IF(ISNUMBER(I417),I417*F417*Z417/1000*Balance!$H$13/J417,0)</f>
        <v>0</v>
      </c>
      <c r="BD417" s="95">
        <f>IF(ISTEXT(K417),IF(ISNUMBER(P417),P417*M417*Z417/1000*Balance!$H$13/Q417,0),BC417)</f>
        <v>0</v>
      </c>
      <c r="BE417" s="95">
        <f>IF(ISTEXT(R417),IF(ISNUMBER(W417),W417*T417*Z417/1000*Balance!$H$13/X417,0),BC417)</f>
        <v>0</v>
      </c>
      <c r="BF417" s="66"/>
      <c r="BG417" s="95">
        <f>BC417*BG410</f>
        <v>0</v>
      </c>
      <c r="BH417" s="95">
        <f>BD417*BH410</f>
        <v>0</v>
      </c>
      <c r="BI417" s="95">
        <f>BE417*BI410</f>
        <v>0</v>
      </c>
      <c r="BJ417" s="95">
        <f t="shared" si="305"/>
        <v>0</v>
      </c>
      <c r="BK417" s="66"/>
      <c r="BL417" s="66"/>
      <c r="BM417" s="66"/>
    </row>
    <row r="418" spans="2:65" outlineLevel="1" x14ac:dyDescent="0.25">
      <c r="B418" s="201"/>
      <c r="C418" s="91"/>
      <c r="D418" s="418"/>
      <c r="E418" s="407"/>
      <c r="F418" s="94"/>
      <c r="G418" s="136" t="str">
        <f>IF(ISNUMBER(VLOOKUP(LEFT(D418,3),'Material editor'!$D$11:$H$110,'Material editor'!$E$8,0)),VLOOKUP(LEFT(D418,3),'Material editor'!$D$11:$H$110,'Material editor'!$E$8,0),"")</f>
        <v/>
      </c>
      <c r="H418" s="137" t="str">
        <f>IF(ISNUMBER(VLOOKUP(LEFT(D418,3),'Material editor'!$D$11:$H$110,'Material editor'!$F$8,0)),VLOOKUP(LEFT(D418,3),'Material editor'!$D$11:$H$110,'Material editor'!$F$8,0),"")</f>
        <v/>
      </c>
      <c r="I418" s="137" t="str">
        <f>IF(ISNUMBER(VLOOKUP(LEFT(D418,3),'Material editor'!$D$11:$H$110,'Material editor'!$G$8,0)),VLOOKUP(LEFT(D418,3),'Material editor'!$D$11:$H$110,'Material editor'!$G$8,0),"")</f>
        <v/>
      </c>
      <c r="J418" s="137" t="str">
        <f>IF(ISNUMBER(VLOOKUP(LEFT(D418,3),'Material editor'!$D$11:$H$110,'Material editor'!$H$8,0)),VLOOKUP(LEFT(D418,3),'Material editor'!$D$11:$H$110,'Material editor'!$H$8,0),"")</f>
        <v/>
      </c>
      <c r="K418" s="418"/>
      <c r="L418" s="407"/>
      <c r="M418" s="94"/>
      <c r="N418" s="136" t="str">
        <f>IF(ISNUMBER(VLOOKUP(LEFT(K418,3),'Material editor'!$D$11:$H$110,'Material editor'!$E$8,0)),VLOOKUP(LEFT(K418,3),'Material editor'!$D$11:$H$110,'Material editor'!$E$8,0),"")</f>
        <v/>
      </c>
      <c r="O418" s="137" t="str">
        <f>IF(ISNUMBER(VLOOKUP(LEFT(K418,3),'Material editor'!$D$11:$H$110,'Material editor'!$F$8,0)),VLOOKUP(LEFT(K418,3),'Material editor'!$D$11:$H$110,'Material editor'!$F$8,0),"")</f>
        <v/>
      </c>
      <c r="P418" s="137" t="str">
        <f>IF(ISNUMBER(VLOOKUP(LEFT(K418,3),'Material editor'!$D$11:$H$110,'Material editor'!$G$8,0)),VLOOKUP(LEFT(K418,3),'Material editor'!$D$11:$H$110,'Material editor'!$G$8,0),"")</f>
        <v/>
      </c>
      <c r="Q418" s="137" t="str">
        <f>IF(ISNUMBER(VLOOKUP(LEFT(K418,3),'Material editor'!$D$11:$H$110,'Material editor'!$H$8,0)),VLOOKUP(LEFT(K418,3),'Material editor'!$D$11:$H$110,'Material editor'!$H$8,0),"")</f>
        <v/>
      </c>
      <c r="R418" s="418"/>
      <c r="S418" s="407"/>
      <c r="T418" s="94"/>
      <c r="U418" s="136" t="str">
        <f>IF(ISNUMBER(VLOOKUP(LEFT(R418,3),'Material editor'!$D$11:$H$110,'Material editor'!$E$8,0)),VLOOKUP(LEFT(R418,3),'Material editor'!$D$11:$H$110,'Material editor'!$E$8,0),"")</f>
        <v/>
      </c>
      <c r="V418" s="137" t="str">
        <f>IF(ISNUMBER(VLOOKUP(LEFT(R418,3),'Material editor'!$D$11:$H$110,'Material editor'!$F$8,0)),VLOOKUP(LEFT(R418,3),'Material editor'!$D$11:$H$110,'Material editor'!$F$8,0),"")</f>
        <v/>
      </c>
      <c r="W418" s="137" t="str">
        <f>IF(ISNUMBER(VLOOKUP(LEFT(R418,3),'Material editor'!$D$11:$H$110,'Material editor'!$G$8,0)),VLOOKUP(LEFT(R418,3),'Material editor'!$D$11:$H$110,'Material editor'!$G$8,0),"")</f>
        <v/>
      </c>
      <c r="X418" s="137" t="str">
        <f>IF(ISNUMBER(VLOOKUP(LEFT(R418,3),'Material editor'!$D$11:$H$110,'Material editor'!$H$8,0)),VLOOKUP(LEFT(R418,3),'Material editor'!$D$11:$H$110,'Material editor'!$H$8,0),"")</f>
        <v/>
      </c>
      <c r="Y418" s="74"/>
      <c r="Z418" s="94"/>
      <c r="AA418" s="8"/>
      <c r="AB418" s="61"/>
      <c r="AC418" s="65"/>
      <c r="AD418" s="65"/>
      <c r="AE418" s="95">
        <f t="shared" si="296"/>
        <v>0</v>
      </c>
      <c r="AF418" s="95">
        <f t="shared" si="297"/>
        <v>0</v>
      </c>
      <c r="AG418" s="95">
        <f t="shared" si="298"/>
        <v>0</v>
      </c>
      <c r="AH418" s="65"/>
      <c r="AI418" s="95">
        <f t="shared" si="299"/>
        <v>0</v>
      </c>
      <c r="AJ418" s="95">
        <f t="shared" si="300"/>
        <v>0</v>
      </c>
      <c r="AK418" s="95">
        <f t="shared" si="301"/>
        <v>0</v>
      </c>
      <c r="AL418" s="65"/>
      <c r="AM418" s="96">
        <f t="shared" ref="AM418:AO418" si="310">AM417</f>
        <v>1</v>
      </c>
      <c r="AN418" s="96">
        <f t="shared" si="310"/>
        <v>0</v>
      </c>
      <c r="AO418" s="96">
        <f t="shared" si="310"/>
        <v>0</v>
      </c>
      <c r="AP418" s="65">
        <f t="shared" si="302"/>
        <v>0</v>
      </c>
      <c r="AQ418" s="65"/>
      <c r="AR418" s="65"/>
      <c r="AS418" s="66"/>
      <c r="AT418" s="95">
        <f>IF(ISNUMBER(H418),H418*F418*Z418/1000*Balance!$H$13/J418,0)</f>
        <v>0</v>
      </c>
      <c r="AU418" s="95">
        <f>IF(ISTEXT(K418),IF(ISNUMBER(O418),O418*M418*Z418/1000*Balance!$H$13/Q418,0),AT418)</f>
        <v>0</v>
      </c>
      <c r="AV418" s="95">
        <f>IF(ISTEXT(R418),IF(ISNUMBER(V418),V418*T418*Z418/1000*Balance!$H$13/X418,0),AT418)</f>
        <v>0</v>
      </c>
      <c r="AW418" s="66"/>
      <c r="AX418" s="95">
        <f>AT418*AX410</f>
        <v>0</v>
      </c>
      <c r="AY418" s="95">
        <f>AU418*AY410</f>
        <v>0</v>
      </c>
      <c r="AZ418" s="95">
        <f>AV418*AZ410</f>
        <v>0</v>
      </c>
      <c r="BA418" s="95">
        <f t="shared" si="304"/>
        <v>0</v>
      </c>
      <c r="BB418" s="66"/>
      <c r="BC418" s="95">
        <f>IF(ISNUMBER(I418),I418*F418*Z418/1000*Balance!$H$13/J418,0)</f>
        <v>0</v>
      </c>
      <c r="BD418" s="95">
        <f>IF(ISTEXT(K418),IF(ISNUMBER(P418),P418*M418*Z418/1000*Balance!$H$13/Q418,0),BC418)</f>
        <v>0</v>
      </c>
      <c r="BE418" s="95">
        <f>IF(ISTEXT(R418),IF(ISNUMBER(W418),W418*T418*Z418/1000*Balance!$H$13/X418,0),BC418)</f>
        <v>0</v>
      </c>
      <c r="BF418" s="66"/>
      <c r="BG418" s="95">
        <f>BC418*BG410</f>
        <v>0</v>
      </c>
      <c r="BH418" s="95">
        <f>BD418*BH410</f>
        <v>0</v>
      </c>
      <c r="BI418" s="95">
        <f>BE418*BI410</f>
        <v>0</v>
      </c>
      <c r="BJ418" s="95">
        <f t="shared" si="305"/>
        <v>0</v>
      </c>
      <c r="BK418" s="66"/>
      <c r="BL418" s="66"/>
      <c r="BM418" s="66"/>
    </row>
    <row r="419" spans="2:65" outlineLevel="1" x14ac:dyDescent="0.25">
      <c r="B419" s="201"/>
      <c r="C419" s="91"/>
      <c r="D419" s="418"/>
      <c r="E419" s="407"/>
      <c r="F419" s="94"/>
      <c r="G419" s="136" t="str">
        <f>IF(ISNUMBER(VLOOKUP(LEFT(D419,3),'Material editor'!$D$11:$H$110,'Material editor'!$E$8,0)),VLOOKUP(LEFT(D419,3),'Material editor'!$D$11:$H$110,'Material editor'!$E$8,0),"")</f>
        <v/>
      </c>
      <c r="H419" s="137" t="str">
        <f>IF(ISNUMBER(VLOOKUP(LEFT(D419,3),'Material editor'!$D$11:$H$110,'Material editor'!$F$8,0)),VLOOKUP(LEFT(D419,3),'Material editor'!$D$11:$H$110,'Material editor'!$F$8,0),"")</f>
        <v/>
      </c>
      <c r="I419" s="137" t="str">
        <f>IF(ISNUMBER(VLOOKUP(LEFT(D419,3),'Material editor'!$D$11:$H$110,'Material editor'!$G$8,0)),VLOOKUP(LEFT(D419,3),'Material editor'!$D$11:$H$110,'Material editor'!$G$8,0),"")</f>
        <v/>
      </c>
      <c r="J419" s="137" t="str">
        <f>IF(ISNUMBER(VLOOKUP(LEFT(D419,3),'Material editor'!$D$11:$H$110,'Material editor'!$H$8,0)),VLOOKUP(LEFT(D419,3),'Material editor'!$D$11:$H$110,'Material editor'!$H$8,0),"")</f>
        <v/>
      </c>
      <c r="K419" s="418"/>
      <c r="L419" s="407"/>
      <c r="M419" s="94"/>
      <c r="N419" s="136" t="str">
        <f>IF(ISNUMBER(VLOOKUP(LEFT(K419,3),'Material editor'!$D$11:$H$110,'Material editor'!$E$8,0)),VLOOKUP(LEFT(K419,3),'Material editor'!$D$11:$H$110,'Material editor'!$E$8,0),"")</f>
        <v/>
      </c>
      <c r="O419" s="137" t="str">
        <f>IF(ISNUMBER(VLOOKUP(LEFT(K419,3),'Material editor'!$D$11:$H$110,'Material editor'!$F$8,0)),VLOOKUP(LEFT(K419,3),'Material editor'!$D$11:$H$110,'Material editor'!$F$8,0),"")</f>
        <v/>
      </c>
      <c r="P419" s="137" t="str">
        <f>IF(ISNUMBER(VLOOKUP(LEFT(K419,3),'Material editor'!$D$11:$H$110,'Material editor'!$G$8,0)),VLOOKUP(LEFT(K419,3),'Material editor'!$D$11:$H$110,'Material editor'!$G$8,0),"")</f>
        <v/>
      </c>
      <c r="Q419" s="137" t="str">
        <f>IF(ISNUMBER(VLOOKUP(LEFT(K419,3),'Material editor'!$D$11:$H$110,'Material editor'!$H$8,0)),VLOOKUP(LEFT(K419,3),'Material editor'!$D$11:$H$110,'Material editor'!$H$8,0),"")</f>
        <v/>
      </c>
      <c r="R419" s="418"/>
      <c r="S419" s="407"/>
      <c r="T419" s="94"/>
      <c r="U419" s="136" t="str">
        <f>IF(ISNUMBER(VLOOKUP(LEFT(R419,3),'Material editor'!$D$11:$H$110,'Material editor'!$E$8,0)),VLOOKUP(LEFT(R419,3),'Material editor'!$D$11:$H$110,'Material editor'!$E$8,0),"")</f>
        <v/>
      </c>
      <c r="V419" s="137" t="str">
        <f>IF(ISNUMBER(VLOOKUP(LEFT(R419,3),'Material editor'!$D$11:$H$110,'Material editor'!$F$8,0)),VLOOKUP(LEFT(R419,3),'Material editor'!$D$11:$H$110,'Material editor'!$F$8,0),"")</f>
        <v/>
      </c>
      <c r="W419" s="137" t="str">
        <f>IF(ISNUMBER(VLOOKUP(LEFT(R419,3),'Material editor'!$D$11:$H$110,'Material editor'!$G$8,0)),VLOOKUP(LEFT(R419,3),'Material editor'!$D$11:$H$110,'Material editor'!$G$8,0),"")</f>
        <v/>
      </c>
      <c r="X419" s="137" t="str">
        <f>IF(ISNUMBER(VLOOKUP(LEFT(R419,3),'Material editor'!$D$11:$H$110,'Material editor'!$H$8,0)),VLOOKUP(LEFT(R419,3),'Material editor'!$D$11:$H$110,'Material editor'!$H$8,0),"")</f>
        <v/>
      </c>
      <c r="Y419" s="74"/>
      <c r="Z419" s="94"/>
      <c r="AA419" s="8"/>
      <c r="AB419" s="61"/>
      <c r="AC419" s="65"/>
      <c r="AD419" s="65"/>
      <c r="AE419" s="95">
        <f t="shared" si="296"/>
        <v>0</v>
      </c>
      <c r="AF419" s="95">
        <f t="shared" si="297"/>
        <v>0</v>
      </c>
      <c r="AG419" s="95">
        <f t="shared" si="298"/>
        <v>0</v>
      </c>
      <c r="AH419" s="65"/>
      <c r="AI419" s="95">
        <f>IF(ISNUMBER(G419),G419,0)</f>
        <v>0</v>
      </c>
      <c r="AJ419" s="95">
        <f t="shared" si="300"/>
        <v>0</v>
      </c>
      <c r="AK419" s="95">
        <f t="shared" si="301"/>
        <v>0</v>
      </c>
      <c r="AL419" s="65"/>
      <c r="AM419" s="96">
        <f t="shared" ref="AM419:AO419" si="311">AM418</f>
        <v>1</v>
      </c>
      <c r="AN419" s="96">
        <f t="shared" si="311"/>
        <v>0</v>
      </c>
      <c r="AO419" s="96">
        <f t="shared" si="311"/>
        <v>0</v>
      </c>
      <c r="AP419" s="65">
        <f t="shared" si="302"/>
        <v>0</v>
      </c>
      <c r="AQ419" s="65"/>
      <c r="AR419" s="65"/>
      <c r="AS419" s="66"/>
      <c r="AT419" s="95">
        <f>IF(ISNUMBER(H419),H419*F419*Z419/1000*Balance!$H$13/J419,0)</f>
        <v>0</v>
      </c>
      <c r="AU419" s="95">
        <f>IF(ISTEXT(K419),IF(ISNUMBER(O419),O419*M419*Z419/1000*Balance!$H$13/Q419,0),AT419)</f>
        <v>0</v>
      </c>
      <c r="AV419" s="95">
        <f>IF(ISTEXT(R419),IF(ISNUMBER(V419),V419*T419*Z419/1000*Balance!$H$13/X419,0),AT419)</f>
        <v>0</v>
      </c>
      <c r="AW419" s="66"/>
      <c r="AX419" s="95">
        <f>AT419*AX410</f>
        <v>0</v>
      </c>
      <c r="AY419" s="95">
        <f>AU419*AY410</f>
        <v>0</v>
      </c>
      <c r="AZ419" s="95">
        <f>AV419*AZ410</f>
        <v>0</v>
      </c>
      <c r="BA419" s="95">
        <f t="shared" si="304"/>
        <v>0</v>
      </c>
      <c r="BB419" s="66"/>
      <c r="BC419" s="95">
        <f>IF(ISNUMBER(I419),I419*F419*Z419/1000*Balance!$H$13/J419,0)</f>
        <v>0</v>
      </c>
      <c r="BD419" s="95">
        <f>IF(ISTEXT(K419),IF(ISNUMBER(P419),P419*M419*Z419/1000*Balance!$H$13/Q419,0),BC419)</f>
        <v>0</v>
      </c>
      <c r="BE419" s="95">
        <f>IF(ISTEXT(R419),IF(ISNUMBER(W419),W419*T419*Z419/1000*Balance!$H$13/X419,0),BC419)</f>
        <v>0</v>
      </c>
      <c r="BF419" s="66"/>
      <c r="BG419" s="95">
        <f>BC419*BG410</f>
        <v>0</v>
      </c>
      <c r="BH419" s="95">
        <f>BD419*BH410</f>
        <v>0</v>
      </c>
      <c r="BI419" s="95">
        <f>BE419*BI410</f>
        <v>0</v>
      </c>
      <c r="BJ419" s="95">
        <f t="shared" si="305"/>
        <v>0</v>
      </c>
      <c r="BK419" s="66"/>
      <c r="BL419" s="66"/>
      <c r="BM419" s="66"/>
    </row>
    <row r="420" spans="2:65" outlineLevel="1" x14ac:dyDescent="0.25">
      <c r="B420" s="201"/>
      <c r="C420" s="77"/>
      <c r="D420" s="125">
        <f>MAX(0,1-K420-R420)</f>
        <v>1</v>
      </c>
      <c r="E420" s="126" t="s">
        <v>141</v>
      </c>
      <c r="F420" s="126"/>
      <c r="H420" s="97"/>
      <c r="I420" s="97"/>
      <c r="J420" s="97"/>
      <c r="K420" s="100"/>
      <c r="L420" s="126" t="s">
        <v>138</v>
      </c>
      <c r="M420" s="126"/>
      <c r="R420" s="100"/>
      <c r="S420" s="126" t="s">
        <v>139</v>
      </c>
      <c r="T420" s="126"/>
      <c r="V420" s="67"/>
      <c r="Y420" s="74"/>
      <c r="Z420" s="5" t="s">
        <v>140</v>
      </c>
      <c r="AA420" s="8"/>
      <c r="AB420" s="61"/>
      <c r="AC420" s="98"/>
      <c r="AD420" s="98" t="s">
        <v>124</v>
      </c>
      <c r="AE420" s="99">
        <f>IF(ISNUMBER($G412),1/($D407+SUM(AE412:AE419)+$D408),0)</f>
        <v>0.14771221908301196</v>
      </c>
      <c r="AF420" s="99">
        <f>IF(ISNUMBER($G412),1/($D407+SUM(AF412:AF419)+$D408),0)</f>
        <v>0.14771221908301196</v>
      </c>
      <c r="AG420" s="99">
        <f>IF(ISNUMBER($G412),1/($D407+SUM(AG412:AG419)+$D408),0)</f>
        <v>0.14771221908301196</v>
      </c>
      <c r="AH420" s="65"/>
      <c r="AI420" s="65"/>
      <c r="AJ420" s="65"/>
      <c r="AK420" s="65"/>
      <c r="AL420" s="65"/>
      <c r="AM420" s="65"/>
      <c r="AN420" s="65"/>
      <c r="AO420" s="65"/>
      <c r="AP420" s="65"/>
      <c r="AQ420" s="65"/>
      <c r="AR420" s="65"/>
      <c r="AS420" s="66"/>
      <c r="AT420" s="66"/>
      <c r="AU420" s="66"/>
      <c r="AV420" s="66"/>
      <c r="AW420" s="66"/>
      <c r="AX420" s="66"/>
      <c r="AY420" s="66"/>
      <c r="AZ420" s="66"/>
      <c r="BA420" s="66"/>
      <c r="BB420" s="66"/>
      <c r="BC420" s="66"/>
      <c r="BD420" s="66"/>
      <c r="BE420" s="66"/>
      <c r="BF420" s="66"/>
      <c r="BG420" s="66"/>
      <c r="BH420" s="66"/>
      <c r="BI420" s="66"/>
      <c r="BJ420" s="66"/>
      <c r="BK420" s="66"/>
      <c r="BL420" s="66"/>
      <c r="BM420" s="66"/>
    </row>
    <row r="421" spans="2:65" outlineLevel="1" x14ac:dyDescent="0.25">
      <c r="B421" s="201"/>
      <c r="C421" s="77"/>
      <c r="D421" s="41"/>
      <c r="E421" s="116" t="s">
        <v>150</v>
      </c>
      <c r="F421" s="116"/>
      <c r="H421" s="68"/>
      <c r="I421" s="68"/>
      <c r="J421" s="68"/>
      <c r="K421" s="157" t="str">
        <f>IF(AE427&lt;=0.1,"","Der Fehler der U-Wert-Berechnung liegt möglicherweise über 10 %. Wärmebrückenberechnung?")</f>
        <v/>
      </c>
      <c r="L421" s="68"/>
      <c r="M421" s="68"/>
      <c r="N421" s="68"/>
      <c r="R421" s="5"/>
      <c r="S421" s="5"/>
      <c r="T421" s="5"/>
      <c r="U421" s="68"/>
      <c r="V421" s="68"/>
      <c r="X421" s="68"/>
      <c r="Y421" s="5"/>
      <c r="Z421" s="189">
        <f>IF(ISNUMBER(Z412),SUM(Z412:Z420)/10,"")</f>
        <v>43.7</v>
      </c>
      <c r="AA421" s="10" t="s">
        <v>8</v>
      </c>
      <c r="AB421" s="61"/>
      <c r="AC421" s="98"/>
      <c r="AD421" s="98" t="s">
        <v>125</v>
      </c>
      <c r="AE421" s="101">
        <f>1-SUM(AF421:AG421)</f>
        <v>1</v>
      </c>
      <c r="AF421" s="102">
        <f>K420</f>
        <v>0</v>
      </c>
      <c r="AG421" s="102">
        <f>R420</f>
        <v>0</v>
      </c>
      <c r="AH421" s="98"/>
      <c r="AI421" s="65"/>
      <c r="AJ421" s="65"/>
      <c r="AK421" s="65"/>
      <c r="AL421" s="65"/>
      <c r="AM421" s="65"/>
      <c r="AN421" s="65"/>
      <c r="AO421" s="65"/>
      <c r="AP421" s="65"/>
      <c r="AQ421" s="65"/>
      <c r="AR421" s="65" t="s">
        <v>393</v>
      </c>
      <c r="AS421" s="148"/>
      <c r="AT421" s="175" t="s">
        <v>393</v>
      </c>
      <c r="AU421" s="65" t="s">
        <v>366</v>
      </c>
      <c r="AV421" s="65" t="s">
        <v>355</v>
      </c>
      <c r="AW421" s="66"/>
      <c r="AX421" s="65" t="s">
        <v>394</v>
      </c>
      <c r="AY421" s="65" t="s">
        <v>356</v>
      </c>
      <c r="AZ421" s="66"/>
      <c r="BA421" s="66"/>
      <c r="BB421" s="66"/>
      <c r="BC421" s="66"/>
      <c r="BD421" s="66"/>
      <c r="BE421" s="66"/>
      <c r="BF421" s="66"/>
      <c r="BG421" s="66"/>
      <c r="BH421" s="66"/>
      <c r="BI421" s="66"/>
      <c r="BJ421" s="66"/>
      <c r="BK421" s="66"/>
      <c r="BL421" s="66"/>
      <c r="BM421" s="66"/>
    </row>
    <row r="422" spans="2:65" outlineLevel="1" x14ac:dyDescent="0.25">
      <c r="B422" s="201"/>
      <c r="C422" s="77"/>
      <c r="D422" s="68"/>
      <c r="E422" s="68"/>
      <c r="F422" s="68"/>
      <c r="G422" s="68"/>
      <c r="H422" s="68"/>
      <c r="I422" s="68"/>
      <c r="J422" s="68"/>
      <c r="K422" s="68"/>
      <c r="L422" s="68"/>
      <c r="M422" s="68"/>
      <c r="N422" s="68"/>
      <c r="O422" s="68"/>
      <c r="P422" s="68"/>
      <c r="Q422" s="68"/>
      <c r="R422" s="68"/>
      <c r="T422" s="68"/>
      <c r="U422" s="68"/>
      <c r="V422" s="68"/>
      <c r="W422" s="68"/>
      <c r="X422" s="68"/>
      <c r="Y422" s="5"/>
      <c r="Z422" s="67"/>
      <c r="AA422" s="8"/>
      <c r="AB422" s="61"/>
      <c r="AC422" s="101"/>
      <c r="AD422" s="101"/>
      <c r="AE422" s="99"/>
      <c r="AF422" s="99"/>
      <c r="AG422" s="99"/>
      <c r="AH422" s="65"/>
      <c r="AI422" s="65"/>
      <c r="AJ422" s="65"/>
      <c r="AK422" s="65"/>
      <c r="AL422" s="65"/>
      <c r="AM422" s="65"/>
      <c r="AN422" s="65"/>
      <c r="AO422" s="65"/>
      <c r="AP422" s="65"/>
      <c r="AQ422" s="65"/>
      <c r="AR422" s="65"/>
      <c r="AS422" s="65"/>
      <c r="AT422" s="101" t="s">
        <v>367</v>
      </c>
      <c r="AU422" s="176">
        <f>Z423*F407*Balance!$H$6</f>
        <v>11.669265307557945</v>
      </c>
      <c r="AV422" s="176">
        <f>AU422*Balance!$H$13</f>
        <v>233.38530615115889</v>
      </c>
      <c r="AW422" s="66"/>
      <c r="AX422" s="66"/>
      <c r="AY422" s="66"/>
      <c r="AZ422" s="66"/>
      <c r="BA422" s="101" t="s">
        <v>351</v>
      </c>
      <c r="BB422" s="66"/>
      <c r="BC422" s="66"/>
      <c r="BD422" s="66"/>
      <c r="BE422" s="66"/>
      <c r="BF422" s="66"/>
      <c r="BG422" s="66"/>
      <c r="BH422" s="66"/>
      <c r="BI422" s="66"/>
      <c r="BJ422" s="66"/>
      <c r="BK422" s="66"/>
      <c r="BL422" s="66"/>
      <c r="BM422" s="66"/>
    </row>
    <row r="423" spans="2:65" ht="18" outlineLevel="1" x14ac:dyDescent="0.35">
      <c r="B423" s="201"/>
      <c r="C423" s="77"/>
      <c r="H423" s="68"/>
      <c r="I423" s="68"/>
      <c r="J423" s="67"/>
      <c r="K423" s="192" t="s">
        <v>397</v>
      </c>
      <c r="L423" s="67"/>
      <c r="M423" s="67"/>
      <c r="N423" s="67"/>
      <c r="O423" s="67"/>
      <c r="P423" s="67"/>
      <c r="Q423" s="67"/>
      <c r="R423" s="14" t="s">
        <v>398</v>
      </c>
      <c r="U423" s="68"/>
      <c r="V423" s="68"/>
      <c r="W423" s="68"/>
      <c r="X423" s="68"/>
      <c r="Y423" s="127" t="s">
        <v>154</v>
      </c>
      <c r="Z423" s="193">
        <f>IF(ISNUMBER(G412),IF(AE427&lt;0.1,1/AE423,1/(AP423*1.1))+D421,"")</f>
        <v>0.14771221908301196</v>
      </c>
      <c r="AA423" s="8" t="s">
        <v>10</v>
      </c>
      <c r="AB423" s="61"/>
      <c r="AC423" s="101"/>
      <c r="AD423" s="101" t="s">
        <v>126</v>
      </c>
      <c r="AE423" s="95">
        <f>IF(ISNUMBER(G412),AVERAGE(AG423,AP423),0)</f>
        <v>6.7699206349206333</v>
      </c>
      <c r="AF423" s="101" t="s">
        <v>127</v>
      </c>
      <c r="AG423" s="95">
        <f>IF(ISNUMBER(G412),1/SUMPRODUCT(AE421:AG421,AE420:AG420),0)</f>
        <v>6.7699206349206333</v>
      </c>
      <c r="AH423" s="65"/>
      <c r="AI423" s="65"/>
      <c r="AJ423" s="65"/>
      <c r="AK423" s="65"/>
      <c r="AL423" s="103"/>
      <c r="AM423" s="65"/>
      <c r="AN423" s="65"/>
      <c r="AO423" s="101" t="s">
        <v>128</v>
      </c>
      <c r="AP423" s="95">
        <f>$D407+SUM(AP412:AP419)+$D408</f>
        <v>6.7699206349206333</v>
      </c>
      <c r="AQ423" s="65"/>
      <c r="AR423" s="65"/>
      <c r="AS423" s="152" t="str">
        <f>Data!$D$4</f>
        <v>Heat pump</v>
      </c>
      <c r="AT423" s="177" t="s">
        <v>374</v>
      </c>
      <c r="AU423" s="179">
        <f>AU422/(Balance!$H$17*Balance!$H$18*Balance!$H$19)*Balance!$H$22</f>
        <v>7.7795102050386298</v>
      </c>
      <c r="AV423" s="176">
        <f>AU423*Balance!$H$13</f>
        <v>155.59020410077261</v>
      </c>
      <c r="AW423" s="66"/>
      <c r="AX423" s="186">
        <f ca="1">AU422/(Balance!$H$17*Balance!$H$18*Balance!$H$19)*Balance!$G$22/1000</f>
        <v>1.4694630387295189</v>
      </c>
      <c r="AY423" s="176">
        <f ca="1">AX423*Balance!$H$13</f>
        <v>29.389260774590376</v>
      </c>
      <c r="AZ423" s="101"/>
      <c r="BA423" s="95">
        <f>SUM(BA412:BA419)</f>
        <v>117.29240718997278</v>
      </c>
      <c r="BB423" s="66" t="s">
        <v>355</v>
      </c>
      <c r="BC423" s="66"/>
      <c r="BD423" s="66"/>
      <c r="BE423" s="66"/>
      <c r="BF423" s="66"/>
      <c r="BG423" s="66"/>
      <c r="BH423" s="66"/>
      <c r="BI423" s="101" t="s">
        <v>149</v>
      </c>
      <c r="BJ423" s="95">
        <f>SUM(BJ412:BJ419)</f>
        <v>41.073880049113562</v>
      </c>
      <c r="BK423" s="66" t="s">
        <v>357</v>
      </c>
      <c r="BL423" s="66"/>
      <c r="BM423" s="66"/>
    </row>
    <row r="424" spans="2:65" ht="15.75" outlineLevel="1" x14ac:dyDescent="0.25">
      <c r="B424" s="201"/>
      <c r="C424" s="77"/>
      <c r="D424" s="155"/>
      <c r="E424" s="188" t="s">
        <v>395</v>
      </c>
      <c r="F424" s="116"/>
      <c r="H424" s="68"/>
      <c r="I424" s="68"/>
      <c r="J424" s="67"/>
      <c r="K424" s="190">
        <f>BA423</f>
        <v>117.29240718997278</v>
      </c>
      <c r="L424" s="128" t="s">
        <v>400</v>
      </c>
      <c r="M424" s="67"/>
      <c r="N424" s="67"/>
      <c r="O424" s="67"/>
      <c r="P424" s="67"/>
      <c r="Q424" s="67"/>
      <c r="R424" s="190">
        <f>BJ423</f>
        <v>41.073880049113562</v>
      </c>
      <c r="S424" s="128" t="s">
        <v>399</v>
      </c>
      <c r="U424" s="68"/>
      <c r="V424" s="68"/>
      <c r="W424" s="68"/>
      <c r="X424" s="68"/>
      <c r="Y424" s="67"/>
      <c r="Z424" s="67"/>
      <c r="AA424" s="8"/>
      <c r="AB424" s="61"/>
      <c r="AC424" s="101"/>
      <c r="AD424" s="101"/>
      <c r="AE424" s="154"/>
      <c r="AF424" s="101"/>
      <c r="AG424" s="154"/>
      <c r="AH424" s="65"/>
      <c r="AI424" s="65"/>
      <c r="AJ424" s="65"/>
      <c r="AK424" s="65"/>
      <c r="AL424" s="103"/>
      <c r="AM424" s="65"/>
      <c r="AN424" s="65"/>
      <c r="AO424" s="101"/>
      <c r="AP424" s="154"/>
      <c r="AQ424" s="65"/>
      <c r="AR424" s="65"/>
      <c r="AS424" s="152" t="str">
        <f>Data!$D$5</f>
        <v>Direct electric</v>
      </c>
      <c r="AT424" s="177" t="s">
        <v>374</v>
      </c>
      <c r="AU424" s="179">
        <f>AU422/Balance!$H$18*Balance!$H$22</f>
        <v>21.004677553604299</v>
      </c>
      <c r="AV424" s="176">
        <f>AU424*Balance!$H$13</f>
        <v>420.09355107208597</v>
      </c>
      <c r="AW424" s="66"/>
      <c r="AX424" s="186">
        <f ca="1">AU422/Balance!$H$18*Balance!$G$22/1000</f>
        <v>3.9675502045697013</v>
      </c>
      <c r="AY424" s="176">
        <f ca="1">AX424*Balance!$H$13</f>
        <v>79.351004091394032</v>
      </c>
      <c r="AZ424" s="101"/>
      <c r="BA424" s="154"/>
      <c r="BB424" s="66"/>
      <c r="BC424" s="66"/>
      <c r="BD424" s="66"/>
      <c r="BE424" s="66"/>
      <c r="BF424" s="66"/>
      <c r="BG424" s="66"/>
      <c r="BH424" s="66"/>
      <c r="BI424" s="101"/>
      <c r="BJ424" s="154"/>
      <c r="BK424" s="66"/>
      <c r="BL424" s="66"/>
      <c r="BM424" s="66"/>
    </row>
    <row r="425" spans="2:65" ht="15.75" outlineLevel="1" x14ac:dyDescent="0.25">
      <c r="B425" s="201"/>
      <c r="C425" s="77"/>
      <c r="D425" s="155"/>
      <c r="E425" s="188" t="s">
        <v>396</v>
      </c>
      <c r="F425" s="116"/>
      <c r="H425" s="68"/>
      <c r="I425" s="68"/>
      <c r="J425" s="67"/>
      <c r="K425" s="190">
        <f>AV427</f>
        <v>155.59020410077261</v>
      </c>
      <c r="L425" s="128" t="s">
        <v>401</v>
      </c>
      <c r="M425" s="67"/>
      <c r="N425" s="67"/>
      <c r="O425" s="67"/>
      <c r="P425" s="67"/>
      <c r="Q425" s="67"/>
      <c r="R425" s="190">
        <f ca="1">AY427</f>
        <v>29.389260774590376</v>
      </c>
      <c r="S425" s="128" t="s">
        <v>358</v>
      </c>
      <c r="U425" s="68"/>
      <c r="V425" s="68"/>
      <c r="W425" s="68"/>
      <c r="X425" s="68"/>
      <c r="Y425" s="67"/>
      <c r="Z425" s="67"/>
      <c r="AA425" s="8"/>
      <c r="AB425" s="61"/>
      <c r="AC425" s="101"/>
      <c r="AD425" s="101"/>
      <c r="AE425" s="154"/>
      <c r="AF425" s="101"/>
      <c r="AG425" s="154"/>
      <c r="AH425" s="65"/>
      <c r="AI425" s="65"/>
      <c r="AJ425" s="65"/>
      <c r="AK425" s="65"/>
      <c r="AL425" s="103"/>
      <c r="AM425" s="65"/>
      <c r="AN425" s="65"/>
      <c r="AO425" s="101"/>
      <c r="AP425" s="154"/>
      <c r="AQ425" s="65"/>
      <c r="AR425" s="65"/>
      <c r="AS425" s="152" t="str">
        <f>Data!$D$6</f>
        <v>Gas boiler</v>
      </c>
      <c r="AT425" s="177" t="s">
        <v>374</v>
      </c>
      <c r="AU425" s="179">
        <f>AU422/(Balance!$H$18*Balance!$H$19)*Balance!H$23</f>
        <v>22.690238098029333</v>
      </c>
      <c r="AV425" s="176">
        <f>AU425*Balance!$H$13</f>
        <v>453.80476196058669</v>
      </c>
      <c r="AW425" s="66"/>
      <c r="AX425" s="186">
        <f ca="1">AU422/(Balance!$H$18*Balance!$H$19)*Balance!$G$23/1000</f>
        <v>3.233744817372207</v>
      </c>
      <c r="AY425" s="176">
        <f ca="1">AX425*Balance!$H$13</f>
        <v>64.674896347444133</v>
      </c>
      <c r="AZ425" s="101"/>
      <c r="BA425" s="154"/>
      <c r="BB425" s="66"/>
      <c r="BC425" s="66"/>
      <c r="BD425" s="66"/>
      <c r="BE425" s="66"/>
      <c r="BF425" s="66"/>
      <c r="BG425" s="66"/>
      <c r="BH425" s="66"/>
      <c r="BI425" s="101"/>
      <c r="BJ425" s="154"/>
      <c r="BK425" s="66"/>
      <c r="BL425" s="66"/>
      <c r="BM425" s="66"/>
    </row>
    <row r="426" spans="2:65" ht="15.75" outlineLevel="1" x14ac:dyDescent="0.25">
      <c r="B426" s="201"/>
      <c r="C426" s="77"/>
      <c r="D426" s="155"/>
      <c r="E426" s="188" t="s">
        <v>352</v>
      </c>
      <c r="F426" s="116"/>
      <c r="H426" s="68"/>
      <c r="I426" s="68"/>
      <c r="J426" s="67"/>
      <c r="K426" s="191">
        <f>K425+K424</f>
        <v>272.88261129074539</v>
      </c>
      <c r="L426" s="128" t="s">
        <v>355</v>
      </c>
      <c r="M426" s="67"/>
      <c r="N426" s="67"/>
      <c r="O426" s="67"/>
      <c r="P426" s="67"/>
      <c r="Q426" s="67"/>
      <c r="R426" s="191">
        <f ca="1">R425+R424</f>
        <v>70.463140823703938</v>
      </c>
      <c r="S426" s="128" t="s">
        <v>358</v>
      </c>
      <c r="T426" s="153"/>
      <c r="U426" s="68"/>
      <c r="V426" s="68"/>
      <c r="W426" s="68"/>
      <c r="X426" s="68"/>
      <c r="Y426" s="67"/>
      <c r="Z426" s="67"/>
      <c r="AA426" s="8"/>
      <c r="AB426" s="61"/>
      <c r="AC426" s="101"/>
      <c r="AD426" s="101"/>
      <c r="AE426" s="154"/>
      <c r="AF426" s="101"/>
      <c r="AG426" s="154"/>
      <c r="AH426" s="65"/>
      <c r="AI426" s="65"/>
      <c r="AJ426" s="65"/>
      <c r="AK426" s="65"/>
      <c r="AL426" s="103"/>
      <c r="AM426" s="65"/>
      <c r="AN426" s="65"/>
      <c r="AO426" s="101"/>
      <c r="AP426" s="154"/>
      <c r="AQ426" s="65"/>
      <c r="AR426" s="65"/>
      <c r="AS426" s="152" t="str">
        <f>Data!$D$7</f>
        <v>Biomass</v>
      </c>
      <c r="AT426" s="177" t="s">
        <v>374</v>
      </c>
      <c r="AU426" s="179">
        <f>AU422/(Balance!$H$18*Balance!$H$19)*Balance!$H$24</f>
        <v>14.262435375904154</v>
      </c>
      <c r="AV426" s="176">
        <f>AU426*Balance!$H$13</f>
        <v>285.24870751808305</v>
      </c>
      <c r="AW426" s="66"/>
      <c r="AX426" s="186">
        <f ca="1">AU422/(Balance!$H$18*Balance!$H$19)*Balance!$G$24/1000</f>
        <v>0.27552431976178482</v>
      </c>
      <c r="AY426" s="176">
        <f ca="1">AX426*Balance!$H$13</f>
        <v>5.5104863952356968</v>
      </c>
      <c r="AZ426" s="101"/>
      <c r="BA426" s="154"/>
      <c r="BB426" s="66"/>
      <c r="BC426" s="66"/>
      <c r="BD426" s="66"/>
      <c r="BE426" s="66"/>
      <c r="BF426" s="66"/>
      <c r="BG426" s="66"/>
      <c r="BH426" s="66"/>
      <c r="BI426" s="101"/>
      <c r="BJ426" s="154"/>
      <c r="BK426" s="66"/>
      <c r="BL426" s="66"/>
      <c r="BM426" s="66"/>
    </row>
    <row r="427" spans="2:65" outlineLevel="1" x14ac:dyDescent="0.25">
      <c r="B427" s="201"/>
      <c r="C427" s="104"/>
      <c r="D427" s="105"/>
      <c r="E427" s="106"/>
      <c r="F427" s="106"/>
      <c r="G427" s="106"/>
      <c r="H427" s="107"/>
      <c r="I427" s="107"/>
      <c r="J427" s="107"/>
      <c r="K427" s="106"/>
      <c r="L427" s="106"/>
      <c r="M427" s="106"/>
      <c r="N427" s="106"/>
      <c r="O427" s="106"/>
      <c r="P427" s="106"/>
      <c r="Q427" s="106"/>
      <c r="R427" s="106"/>
      <c r="S427" s="106"/>
      <c r="T427" s="106"/>
      <c r="U427" s="106"/>
      <c r="V427" s="106"/>
      <c r="W427" s="106"/>
      <c r="X427" s="106"/>
      <c r="Y427" s="106"/>
      <c r="Z427" s="108"/>
      <c r="AA427" s="109"/>
      <c r="AB427" s="61"/>
      <c r="AC427" s="101"/>
      <c r="AD427" s="101" t="s">
        <v>129</v>
      </c>
      <c r="AE427" s="110">
        <f>IF(ISNUMBER(G412),(AG423-AP423)/(2*AE423),0)</f>
        <v>0</v>
      </c>
      <c r="AF427" s="111"/>
      <c r="AG427" s="65"/>
      <c r="AH427" s="101"/>
      <c r="AI427" s="65"/>
      <c r="AJ427" s="65"/>
      <c r="AK427" s="65"/>
      <c r="AL427" s="65"/>
      <c r="AM427" s="65"/>
      <c r="AN427" s="65"/>
      <c r="AO427" s="65"/>
      <c r="AP427" s="66"/>
      <c r="AQ427" s="65"/>
      <c r="AR427" s="65"/>
      <c r="AS427" s="178" t="str">
        <f>Balance!$G$16</f>
        <v>Heat pump</v>
      </c>
      <c r="AT427" s="66"/>
      <c r="AU427" s="185">
        <f>VLOOKUP(AS427,AS423:AU426,3,0)</f>
        <v>7.7795102050386298</v>
      </c>
      <c r="AV427" s="185">
        <f>VLOOKUP(AS427,AS423:AV426,4,0)</f>
        <v>155.59020410077261</v>
      </c>
      <c r="AW427" s="185"/>
      <c r="AX427" s="187">
        <f ca="1">VLOOKUP(AS427,AS423:AX426,6,0)</f>
        <v>1.4694630387295189</v>
      </c>
      <c r="AY427" s="185">
        <f ca="1">VLOOKUP(AS427,AS423:AY426,7,0)</f>
        <v>29.389260774590376</v>
      </c>
      <c r="AZ427" s="66"/>
      <c r="BA427" s="66"/>
      <c r="BB427" s="66"/>
      <c r="BC427" s="66"/>
      <c r="BD427" s="66"/>
      <c r="BE427" s="66"/>
      <c r="BF427" s="66"/>
      <c r="BG427" s="66"/>
      <c r="BH427" s="66"/>
      <c r="BI427" s="66"/>
      <c r="BJ427" s="66"/>
      <c r="BK427" s="66"/>
      <c r="BL427" s="66"/>
      <c r="BM427" s="66"/>
    </row>
    <row r="428" spans="2:65" outlineLevel="1" x14ac:dyDescent="0.25">
      <c r="B428" s="201"/>
    </row>
    <row r="429" spans="2:65" outlineLevel="1" x14ac:dyDescent="0.25">
      <c r="B429" s="201"/>
      <c r="C429" s="62"/>
      <c r="D429" s="114" t="s">
        <v>131</v>
      </c>
      <c r="E429" s="115" t="s">
        <v>132</v>
      </c>
      <c r="F429" s="115"/>
      <c r="G429" s="63"/>
      <c r="H429" s="63"/>
      <c r="I429" s="63"/>
      <c r="J429" s="63"/>
      <c r="K429" s="63"/>
      <c r="L429" s="63"/>
      <c r="M429" s="63"/>
      <c r="N429" s="63"/>
      <c r="O429" s="63"/>
      <c r="P429" s="63"/>
      <c r="Q429" s="63"/>
      <c r="R429" s="63"/>
      <c r="S429" s="63"/>
      <c r="T429" s="63"/>
      <c r="U429" s="63"/>
      <c r="V429" s="63"/>
      <c r="W429" s="63"/>
      <c r="X429" s="63"/>
      <c r="Y429" s="63"/>
      <c r="Z429" s="63"/>
      <c r="AA429" s="64"/>
      <c r="AB429" s="61"/>
      <c r="AC429" s="65" t="s">
        <v>402</v>
      </c>
      <c r="AD429" s="65"/>
      <c r="AE429" s="65"/>
      <c r="AF429" s="65"/>
      <c r="AG429" s="65"/>
      <c r="AH429" s="65"/>
      <c r="AI429" s="65"/>
      <c r="AJ429" s="65"/>
      <c r="AK429" s="65"/>
      <c r="AL429" s="65"/>
      <c r="AM429" s="65"/>
      <c r="AN429" s="65"/>
      <c r="AO429" s="65"/>
      <c r="AP429" s="65"/>
      <c r="AQ429" s="66"/>
      <c r="AR429" s="65" t="s">
        <v>405</v>
      </c>
      <c r="AS429" s="65"/>
      <c r="AT429" s="65"/>
      <c r="AU429" s="65"/>
      <c r="AV429" s="65"/>
      <c r="AW429" s="65"/>
      <c r="AX429" s="65"/>
      <c r="AY429" s="65"/>
      <c r="AZ429" s="65"/>
      <c r="BA429" s="65"/>
      <c r="BB429" s="65" t="s">
        <v>403</v>
      </c>
      <c r="BC429" s="65"/>
      <c r="BD429" s="65"/>
      <c r="BE429" s="65"/>
      <c r="BF429" s="65"/>
      <c r="BG429" s="65"/>
      <c r="BH429" s="65"/>
      <c r="BI429" s="65"/>
      <c r="BJ429" s="65"/>
      <c r="BK429" s="65"/>
      <c r="BL429" s="65"/>
      <c r="BM429" s="65"/>
    </row>
    <row r="430" spans="2:65" ht="15.75" x14ac:dyDescent="0.25">
      <c r="B430" s="201"/>
      <c r="C430" s="69"/>
      <c r="D430" s="70">
        <v>17</v>
      </c>
      <c r="E430" s="383" t="s">
        <v>1106</v>
      </c>
      <c r="F430" s="92"/>
      <c r="G430" s="72"/>
      <c r="H430" s="72"/>
      <c r="I430" s="72"/>
      <c r="J430" s="72"/>
      <c r="K430" s="72"/>
      <c r="L430" s="72"/>
      <c r="M430" s="72"/>
      <c r="N430" s="72"/>
      <c r="O430" s="72"/>
      <c r="P430" s="72"/>
      <c r="Q430" s="72"/>
      <c r="R430" s="72"/>
      <c r="S430" s="72"/>
      <c r="T430" s="72"/>
      <c r="U430" s="72"/>
      <c r="V430" s="72"/>
      <c r="W430" s="72"/>
      <c r="X430" s="72"/>
      <c r="Y430" s="72"/>
      <c r="Z430" s="73"/>
      <c r="AA430" s="75"/>
      <c r="AB430" s="61"/>
      <c r="AC430" s="65"/>
      <c r="AD430" s="65"/>
      <c r="AE430" s="76" t="s">
        <v>114</v>
      </c>
      <c r="AF430" s="65"/>
      <c r="AG430" s="65"/>
      <c r="AH430" s="65"/>
      <c r="AI430" s="65"/>
      <c r="AJ430" s="65"/>
      <c r="AK430" s="65"/>
      <c r="AL430" s="65"/>
      <c r="AM430" s="65"/>
      <c r="AN430" s="65"/>
      <c r="AO430" s="65"/>
      <c r="AP430" s="66"/>
      <c r="AQ430" s="65"/>
      <c r="AR430" s="65" t="s">
        <v>404</v>
      </c>
      <c r="AS430" s="65"/>
      <c r="AT430" s="65"/>
      <c r="AU430" s="65"/>
      <c r="AV430" s="65"/>
      <c r="AW430" s="65"/>
      <c r="AX430" s="65"/>
      <c r="AY430" s="65"/>
      <c r="AZ430" s="65"/>
      <c r="BA430" s="65"/>
      <c r="BB430" s="65" t="s">
        <v>407</v>
      </c>
      <c r="BC430" s="65"/>
      <c r="BD430" s="65"/>
      <c r="BE430" s="65"/>
      <c r="BF430" s="65"/>
      <c r="BG430" s="65"/>
      <c r="BH430" s="65"/>
      <c r="BI430" s="65"/>
      <c r="BJ430" s="65"/>
      <c r="BK430" s="65"/>
      <c r="BL430" s="65"/>
      <c r="BM430" s="65"/>
    </row>
    <row r="431" spans="2:65" outlineLevel="1" x14ac:dyDescent="0.25">
      <c r="B431" s="201"/>
      <c r="C431" s="77"/>
      <c r="D431" s="116" t="s">
        <v>133</v>
      </c>
      <c r="E431" s="78"/>
      <c r="F431" s="78"/>
      <c r="AA431" s="75"/>
      <c r="AB431" s="61"/>
      <c r="AC431" s="65"/>
      <c r="AD431" s="65"/>
      <c r="AE431" s="65"/>
      <c r="AF431" s="65"/>
      <c r="AG431" s="65"/>
      <c r="AH431" s="65"/>
      <c r="AI431" s="65"/>
      <c r="AJ431" s="65"/>
      <c r="AK431" s="65"/>
      <c r="AL431" s="65"/>
      <c r="AM431" s="65"/>
      <c r="AN431" s="65"/>
      <c r="AO431" s="65"/>
      <c r="AP431" s="66"/>
      <c r="AQ431" s="65"/>
      <c r="AR431" s="65"/>
      <c r="AS431" s="65"/>
      <c r="AT431" s="65"/>
      <c r="AU431" s="65"/>
      <c r="AV431" s="65"/>
      <c r="AW431" s="65"/>
      <c r="AX431" s="65"/>
      <c r="AY431" s="65"/>
      <c r="AZ431" s="65"/>
      <c r="BA431" s="65"/>
      <c r="BB431" s="65"/>
      <c r="BC431" s="65"/>
      <c r="BD431" s="65"/>
      <c r="BE431" s="65"/>
      <c r="BF431" s="65"/>
      <c r="BG431" s="65"/>
      <c r="BH431" s="65"/>
      <c r="BI431" s="65"/>
      <c r="BJ431" s="65"/>
      <c r="BK431" s="65"/>
      <c r="BL431" s="65"/>
      <c r="BM431" s="65"/>
    </row>
    <row r="432" spans="2:65" outlineLevel="1" x14ac:dyDescent="0.25">
      <c r="B432" s="201"/>
      <c r="C432" s="77"/>
      <c r="D432" s="79">
        <v>0.13</v>
      </c>
      <c r="E432" s="2" t="s">
        <v>151</v>
      </c>
      <c r="F432" s="138">
        <v>1</v>
      </c>
      <c r="G432" s="61"/>
      <c r="H432" s="74"/>
      <c r="I432" s="74"/>
      <c r="J432" s="74"/>
      <c r="K432" s="2" t="s">
        <v>921</v>
      </c>
      <c r="L432" s="74"/>
      <c r="M432" s="74"/>
      <c r="N432" s="74"/>
      <c r="AA432" s="75"/>
      <c r="AB432" s="61"/>
      <c r="AC432" s="65"/>
      <c r="AD432" s="65"/>
      <c r="AE432" s="65" t="s">
        <v>115</v>
      </c>
      <c r="AF432" s="65"/>
      <c r="AG432" s="65"/>
      <c r="AH432" s="65"/>
      <c r="AI432" s="65" t="s">
        <v>116</v>
      </c>
      <c r="AJ432" s="65"/>
      <c r="AK432" s="65"/>
      <c r="AL432" s="65"/>
      <c r="AM432" s="65"/>
      <c r="AN432" s="65"/>
      <c r="AO432" s="65"/>
      <c r="AP432" s="66"/>
      <c r="AQ432" s="65"/>
      <c r="AR432" s="65"/>
      <c r="AS432" s="65"/>
      <c r="AT432" s="65"/>
      <c r="AU432" s="65"/>
      <c r="AV432" s="65"/>
      <c r="AW432" s="65"/>
      <c r="AX432" s="65"/>
      <c r="AY432" s="65"/>
      <c r="AZ432" s="65"/>
      <c r="BA432" s="65"/>
      <c r="BB432" s="65"/>
      <c r="BC432" s="65"/>
      <c r="BD432" s="65"/>
      <c r="BE432" s="65"/>
      <c r="BF432" s="65"/>
      <c r="BG432" s="65"/>
      <c r="BH432" s="65"/>
      <c r="BI432" s="65"/>
      <c r="BJ432" s="65"/>
      <c r="BK432" s="65"/>
      <c r="BL432" s="65"/>
      <c r="BM432" s="65"/>
    </row>
    <row r="433" spans="2:65" ht="15.75" outlineLevel="1" x14ac:dyDescent="0.25">
      <c r="B433" s="201"/>
      <c r="C433" s="77"/>
      <c r="D433" s="79">
        <v>0.04</v>
      </c>
      <c r="E433" s="2" t="s">
        <v>152</v>
      </c>
      <c r="F433" s="2"/>
      <c r="G433" s="61"/>
      <c r="H433" s="74"/>
      <c r="I433" s="74"/>
      <c r="J433" s="74"/>
      <c r="K433" s="74"/>
      <c r="L433" s="74"/>
      <c r="M433" s="74"/>
      <c r="N433" s="74"/>
      <c r="AA433" s="75"/>
      <c r="AB433" s="61"/>
      <c r="AC433" s="65"/>
      <c r="AD433" s="65"/>
      <c r="AE433" s="80" t="s">
        <v>117</v>
      </c>
      <c r="AF433" s="81"/>
      <c r="AG433" s="81"/>
      <c r="AH433" s="65"/>
      <c r="AI433" s="82" t="s">
        <v>118</v>
      </c>
      <c r="AJ433" s="81"/>
      <c r="AK433" s="81"/>
      <c r="AL433" s="65"/>
      <c r="AM433" s="83" t="s">
        <v>119</v>
      </c>
      <c r="AN433" s="84"/>
      <c r="AO433" s="85"/>
      <c r="AP433" s="65"/>
      <c r="AQ433" s="65"/>
      <c r="AR433" s="65"/>
      <c r="AS433" s="65"/>
      <c r="AT433" s="65"/>
      <c r="AU433" s="65"/>
      <c r="AV433" s="65"/>
      <c r="AW433" s="65"/>
      <c r="AX433" s="65"/>
      <c r="AY433" s="65"/>
      <c r="AZ433" s="65"/>
      <c r="BA433" s="65"/>
      <c r="BB433" s="65"/>
      <c r="BC433" s="65"/>
      <c r="BD433" s="65"/>
      <c r="BE433" s="65"/>
      <c r="BF433" s="65"/>
      <c r="BG433" s="65"/>
      <c r="BH433" s="65"/>
      <c r="BI433" s="65"/>
      <c r="BJ433" s="65"/>
      <c r="BK433" s="65"/>
      <c r="BL433" s="65"/>
      <c r="BM433" s="65"/>
    </row>
    <row r="434" spans="2:65" ht="15.75" outlineLevel="1" x14ac:dyDescent="0.25">
      <c r="B434" s="201"/>
      <c r="C434" s="77"/>
      <c r="D434" s="74"/>
      <c r="E434" s="61"/>
      <c r="F434" s="61"/>
      <c r="G434" s="61"/>
      <c r="H434" s="74"/>
      <c r="I434" s="74"/>
      <c r="J434" s="74"/>
      <c r="K434" s="74"/>
      <c r="L434" s="74"/>
      <c r="M434" s="74"/>
      <c r="N434" s="74"/>
      <c r="O434" s="1"/>
      <c r="P434" s="1"/>
      <c r="Q434" s="1"/>
      <c r="AA434" s="75"/>
      <c r="AB434" s="61"/>
      <c r="AC434" s="65"/>
      <c r="AD434" s="65"/>
      <c r="AE434" s="117"/>
      <c r="AF434" s="117"/>
      <c r="AG434" s="117"/>
      <c r="AH434" s="65"/>
      <c r="AI434" s="118"/>
      <c r="AJ434" s="117"/>
      <c r="AK434" s="117"/>
      <c r="AL434" s="65"/>
      <c r="AM434" s="119"/>
      <c r="AN434" s="119"/>
      <c r="AO434" s="119"/>
      <c r="AP434" s="65"/>
      <c r="AQ434" s="65"/>
      <c r="AR434" s="65"/>
      <c r="AS434" s="65"/>
      <c r="AT434" s="148" t="s">
        <v>351</v>
      </c>
      <c r="AU434" s="65"/>
      <c r="AV434" s="65"/>
      <c r="AW434" s="65"/>
      <c r="AX434" s="148"/>
      <c r="AY434" s="65"/>
      <c r="AZ434" s="65"/>
      <c r="BA434" s="65"/>
      <c r="BB434" s="65"/>
      <c r="BC434" s="148" t="s">
        <v>406</v>
      </c>
      <c r="BD434" s="65"/>
      <c r="BE434" s="65"/>
      <c r="BF434" s="65"/>
      <c r="BG434" s="148"/>
      <c r="BH434" s="65"/>
      <c r="BI434" s="65"/>
      <c r="BJ434" s="65"/>
      <c r="BK434" s="65"/>
      <c r="BL434" s="65"/>
      <c r="BM434" s="65"/>
    </row>
    <row r="435" spans="2:65" ht="22.5" outlineLevel="1" x14ac:dyDescent="0.25">
      <c r="B435" s="201"/>
      <c r="C435" s="77"/>
      <c r="D435" s="121" t="str">
        <f>$D$35</f>
        <v>Area section 1</v>
      </c>
      <c r="E435" s="61"/>
      <c r="F435" s="122" t="str">
        <f>$F$35</f>
        <v>Count?</v>
      </c>
      <c r="G435" s="122" t="str">
        <f>$G$35</f>
        <v>Thermal conductivity</v>
      </c>
      <c r="H435" s="122" t="str">
        <f>$H$35</f>
        <v>Manfacturing energy</v>
      </c>
      <c r="I435" s="122" t="str">
        <f>$I$35</f>
        <v>GWP</v>
      </c>
      <c r="J435" s="122" t="str">
        <f>$J$35</f>
        <v>Service life</v>
      </c>
      <c r="K435" s="121" t="str">
        <f>$K$35</f>
        <v>Area section 2 (optional)</v>
      </c>
      <c r="L435" s="121"/>
      <c r="M435" s="122" t="str">
        <f>$M$35</f>
        <v>Count?</v>
      </c>
      <c r="N435" s="122" t="str">
        <f>$N$35</f>
        <v>Thermal conductivity</v>
      </c>
      <c r="O435" s="122" t="str">
        <f>$O$35</f>
        <v>Manfacturing energy</v>
      </c>
      <c r="P435" s="122" t="str">
        <f>$P$35</f>
        <v>GWP</v>
      </c>
      <c r="Q435" s="122" t="str">
        <f>$Q$35</f>
        <v>Service life</v>
      </c>
      <c r="R435" s="121" t="str">
        <f>$R$35</f>
        <v>Area section 3 (optional)</v>
      </c>
      <c r="S435" s="74"/>
      <c r="T435" s="122" t="str">
        <f>$T$35</f>
        <v>Count?</v>
      </c>
      <c r="U435" s="122" t="str">
        <f>$U$35</f>
        <v>Thermal conductivity</v>
      </c>
      <c r="V435" s="122" t="str">
        <f>$V$35</f>
        <v>Manfacturing energy</v>
      </c>
      <c r="W435" s="122" t="str">
        <f>$W$35</f>
        <v>GWP</v>
      </c>
      <c r="X435" s="122" t="str">
        <f>$X$35</f>
        <v>Service life</v>
      </c>
      <c r="Y435" s="74"/>
      <c r="Z435" s="122" t="str">
        <f>$Z$35</f>
        <v>Thickness</v>
      </c>
      <c r="AA435" s="75"/>
      <c r="AB435" s="61"/>
      <c r="AC435" s="65"/>
      <c r="AD435" s="65"/>
      <c r="AE435" s="86"/>
      <c r="AF435" s="87"/>
      <c r="AG435" s="65"/>
      <c r="AH435" s="65"/>
      <c r="AI435" s="65"/>
      <c r="AJ435" s="65"/>
      <c r="AK435" s="65"/>
      <c r="AL435" s="65"/>
      <c r="AM435" s="65"/>
      <c r="AN435" s="65"/>
      <c r="AO435" s="65"/>
      <c r="AP435" s="65"/>
      <c r="AQ435" s="65"/>
      <c r="AR435" s="65"/>
      <c r="AS435" s="65"/>
      <c r="AT435" s="148"/>
      <c r="AU435" s="65"/>
      <c r="AV435" s="65"/>
      <c r="AW435" s="151" t="s">
        <v>353</v>
      </c>
      <c r="AX435" s="149">
        <f>D445</f>
        <v>1</v>
      </c>
      <c r="AY435" s="150">
        <f>K445</f>
        <v>0</v>
      </c>
      <c r="AZ435" s="150">
        <f>R445</f>
        <v>0</v>
      </c>
      <c r="BA435" s="156">
        <f>SUM(AX435:AZ435)</f>
        <v>1</v>
      </c>
      <c r="BB435" s="65"/>
      <c r="BC435" s="148"/>
      <c r="BD435" s="65"/>
      <c r="BE435" s="65"/>
      <c r="BF435" s="151" t="s">
        <v>353</v>
      </c>
      <c r="BG435" s="149">
        <f>AX435</f>
        <v>1</v>
      </c>
      <c r="BH435" s="149">
        <f t="shared" ref="BH435" si="312">AY435</f>
        <v>0</v>
      </c>
      <c r="BI435" s="149">
        <f t="shared" ref="BI435" si="313">AZ435</f>
        <v>0</v>
      </c>
      <c r="BJ435" s="156">
        <f>SUM(BG435:BI435)</f>
        <v>1</v>
      </c>
      <c r="BK435" s="65"/>
      <c r="BL435" s="65"/>
      <c r="BM435" s="65"/>
    </row>
    <row r="436" spans="2:65" outlineLevel="1" x14ac:dyDescent="0.25">
      <c r="B436" s="201"/>
      <c r="C436" s="77"/>
      <c r="E436" s="61"/>
      <c r="F436" s="120" t="s">
        <v>985</v>
      </c>
      <c r="G436" s="4" t="s">
        <v>135</v>
      </c>
      <c r="H436" s="120" t="s">
        <v>144</v>
      </c>
      <c r="I436" s="120" t="s">
        <v>148</v>
      </c>
      <c r="J436" s="120" t="s">
        <v>146</v>
      </c>
      <c r="K436" s="88"/>
      <c r="L436" s="88"/>
      <c r="M436" s="88"/>
      <c r="N436" s="4" t="s">
        <v>135</v>
      </c>
      <c r="O436" s="120" t="s">
        <v>144</v>
      </c>
      <c r="P436" s="120" t="s">
        <v>148</v>
      </c>
      <c r="Q436" s="120" t="s">
        <v>146</v>
      </c>
      <c r="R436" s="88"/>
      <c r="S436" s="88"/>
      <c r="T436" s="88"/>
      <c r="U436" s="4" t="s">
        <v>135</v>
      </c>
      <c r="V436" s="120" t="s">
        <v>144</v>
      </c>
      <c r="W436" s="120" t="s">
        <v>148</v>
      </c>
      <c r="X436" s="120" t="s">
        <v>146</v>
      </c>
      <c r="Y436" s="74"/>
      <c r="Z436" s="120" t="str">
        <f>$Z$36</f>
        <v>[mm]</v>
      </c>
      <c r="AA436" s="75"/>
      <c r="AB436" s="61"/>
      <c r="AC436" s="65"/>
      <c r="AD436" s="65"/>
      <c r="AE436" s="89" t="s">
        <v>120</v>
      </c>
      <c r="AF436" s="89" t="s">
        <v>121</v>
      </c>
      <c r="AG436" s="89" t="s">
        <v>122</v>
      </c>
      <c r="AH436" s="65"/>
      <c r="AI436" s="89" t="s">
        <v>120</v>
      </c>
      <c r="AJ436" s="89" t="s">
        <v>121</v>
      </c>
      <c r="AK436" s="89" t="s">
        <v>122</v>
      </c>
      <c r="AL436" s="90"/>
      <c r="AM436" s="89" t="s">
        <v>120</v>
      </c>
      <c r="AN436" s="89" t="s">
        <v>121</v>
      </c>
      <c r="AO436" s="89" t="s">
        <v>122</v>
      </c>
      <c r="AP436" s="90" t="s">
        <v>123</v>
      </c>
      <c r="AQ436" s="65"/>
      <c r="AR436" s="65"/>
      <c r="AS436" s="65"/>
      <c r="AT436" s="89" t="s">
        <v>120</v>
      </c>
      <c r="AU436" s="89" t="s">
        <v>121</v>
      </c>
      <c r="AV436" s="89" t="s">
        <v>122</v>
      </c>
      <c r="AW436" s="65"/>
      <c r="AX436" s="89" t="s">
        <v>120</v>
      </c>
      <c r="AY436" s="89" t="s">
        <v>121</v>
      </c>
      <c r="AZ436" s="89" t="s">
        <v>122</v>
      </c>
      <c r="BA436" s="89" t="s">
        <v>354</v>
      </c>
      <c r="BB436" s="65"/>
      <c r="BC436" s="89" t="s">
        <v>120</v>
      </c>
      <c r="BD436" s="89" t="s">
        <v>121</v>
      </c>
      <c r="BE436" s="89" t="s">
        <v>122</v>
      </c>
      <c r="BF436" s="65"/>
      <c r="BG436" s="89" t="s">
        <v>120</v>
      </c>
      <c r="BH436" s="89" t="s">
        <v>121</v>
      </c>
      <c r="BI436" s="89" t="s">
        <v>122</v>
      </c>
      <c r="BJ436" s="89" t="s">
        <v>354</v>
      </c>
      <c r="BK436" s="65"/>
      <c r="BL436" s="65"/>
      <c r="BM436" s="65"/>
    </row>
    <row r="437" spans="2:65" outlineLevel="1" x14ac:dyDescent="0.25">
      <c r="B437" s="201"/>
      <c r="C437" s="91"/>
      <c r="D437" s="418" t="s">
        <v>1107</v>
      </c>
      <c r="E437" s="407"/>
      <c r="F437" s="94">
        <v>1</v>
      </c>
      <c r="G437" s="136">
        <f>IF(ISNUMBER(VLOOKUP(LEFT(D437,3),'Material editor'!$D$11:$H$110,'Material editor'!$E$8,0)),VLOOKUP(LEFT(D437,3),'Material editor'!$D$11:$H$110,'Material editor'!$E$8,0),"")</f>
        <v>2.1</v>
      </c>
      <c r="H437" s="137">
        <f>IF(ISNUMBER(VLOOKUP(LEFT(D437,3),'Material editor'!$D$11:$H$110,'Material editor'!$F$8,0)),VLOOKUP(LEFT(D437,3),'Material editor'!$D$11:$H$110,'Material editor'!$F$8,0),"")</f>
        <v>0</v>
      </c>
      <c r="I437" s="137">
        <f>IF(ISNUMBER(VLOOKUP(LEFT(D437,3),'Material editor'!$D$11:$H$110,'Material editor'!$G$8,0)),VLOOKUP(LEFT(D437,3),'Material editor'!$D$11:$H$110,'Material editor'!$G$8,0),"")</f>
        <v>0</v>
      </c>
      <c r="J437" s="137">
        <f>IF(ISNUMBER(VLOOKUP(LEFT(D437,3),'Material editor'!$D$11:$H$110,'Material editor'!$H$8,0)),VLOOKUP(LEFT(D437,3),'Material editor'!$D$11:$H$110,'Material editor'!$H$8,0),"")</f>
        <v>45</v>
      </c>
      <c r="K437" s="418"/>
      <c r="L437" s="407"/>
      <c r="M437" s="94"/>
      <c r="N437" s="136" t="str">
        <f>IF(ISNUMBER(VLOOKUP(LEFT(K437,3),'Material editor'!$D$11:$H$110,'Material editor'!$E$8,0)),VLOOKUP(LEFT(K437,3),'Material editor'!$D$11:$H$110,'Material editor'!$E$8,0),"")</f>
        <v/>
      </c>
      <c r="O437" s="137" t="str">
        <f>IF(ISNUMBER(VLOOKUP(LEFT(K437,3),'Material editor'!$D$11:$H$110,'Material editor'!$F$8,0)),VLOOKUP(LEFT(K437,3),'Material editor'!$D$11:$H$110,'Material editor'!$F$8,0),"")</f>
        <v/>
      </c>
      <c r="P437" s="137" t="str">
        <f>IF(ISNUMBER(VLOOKUP(LEFT(K437,3),'Material editor'!$D$11:$H$110,'Material editor'!$G$8,0)),VLOOKUP(LEFT(K437,3),'Material editor'!$D$11:$H$110,'Material editor'!$G$8,0),"")</f>
        <v/>
      </c>
      <c r="Q437" s="137" t="str">
        <f>IF(ISNUMBER(VLOOKUP(LEFT(K437,3),'Material editor'!$D$11:$H$110,'Material editor'!$H$8,0)),VLOOKUP(LEFT(K437,3),'Material editor'!$D$11:$H$110,'Material editor'!$H$8,0),"")</f>
        <v/>
      </c>
      <c r="R437" s="418"/>
      <c r="S437" s="407"/>
      <c r="T437" s="94"/>
      <c r="U437" s="136" t="str">
        <f>IF(ISNUMBER(VLOOKUP(LEFT(R437,3),'Material editor'!$D$11:$H$110,'Material editor'!$E$8,0)),VLOOKUP(LEFT(R437,3),'Material editor'!$D$11:$H$110,'Material editor'!$E$8,0),"")</f>
        <v/>
      </c>
      <c r="V437" s="137" t="str">
        <f>IF(ISNUMBER(VLOOKUP(LEFT(R437,3),'Material editor'!$D$11:$H$110,'Material editor'!$F$8,0)),VLOOKUP(LEFT(R437,3),'Material editor'!$D$11:$H$110,'Material editor'!$F$8,0),"")</f>
        <v/>
      </c>
      <c r="W437" s="137" t="str">
        <f>IF(ISNUMBER(VLOOKUP(LEFT(R437,3),'Material editor'!$D$11:$H$110,'Material editor'!$G$8,0)),VLOOKUP(LEFT(R437,3),'Material editor'!$D$11:$H$110,'Material editor'!$G$8,0),"")</f>
        <v/>
      </c>
      <c r="X437" s="137" t="str">
        <f>IF(ISNUMBER(VLOOKUP(LEFT(R437,3),'Material editor'!$D$11:$H$110,'Material editor'!$H$8,0)),VLOOKUP(LEFT(R437,3),'Material editor'!$D$11:$H$110,'Material editor'!$H$8,0),"")</f>
        <v/>
      </c>
      <c r="Y437" s="74"/>
      <c r="Z437" s="94"/>
      <c r="AA437" s="8"/>
      <c r="AB437" s="61"/>
      <c r="AC437" s="65"/>
      <c r="AD437" s="65"/>
      <c r="AE437" s="95">
        <f t="shared" ref="AE437:AE444" si="314">IF(ISNUMBER(G437),IF(G437&gt;0,$Z437/1000/G437,0),0)</f>
        <v>0</v>
      </c>
      <c r="AF437" s="95">
        <f t="shared" ref="AF437:AF444" si="315">IF(ISNUMBER(N437),IF(N437&gt;0,$Z437/1000/N437,0),$AE437)</f>
        <v>0</v>
      </c>
      <c r="AG437" s="95">
        <f t="shared" ref="AG437:AG444" si="316">IF(ISNUMBER(U437),IF(U437&gt;0,$Z437/1000/U437,0),$AE437)</f>
        <v>0</v>
      </c>
      <c r="AH437" s="65"/>
      <c r="AI437" s="95">
        <f t="shared" ref="AI437:AI443" si="317">IF(ISNUMBER(G437),G437,0)</f>
        <v>2.1</v>
      </c>
      <c r="AJ437" s="95">
        <f t="shared" ref="AJ437:AJ444" si="318">IF(ISNUMBER(N437),IF(N437&gt;0,N437,0),$AI437)</f>
        <v>2.1</v>
      </c>
      <c r="AK437" s="95">
        <f t="shared" ref="AK437:AK444" si="319">IF(ISNUMBER(U437),IF(U437&gt;0,U437,0),$AI437)</f>
        <v>2.1</v>
      </c>
      <c r="AL437" s="65"/>
      <c r="AM437" s="96">
        <f>AE446</f>
        <v>1</v>
      </c>
      <c r="AN437" s="96">
        <f>AF446</f>
        <v>0</v>
      </c>
      <c r="AO437" s="96">
        <f>AG446</f>
        <v>0</v>
      </c>
      <c r="AP437" s="65">
        <f t="shared" ref="AP437:AP444" si="320">IF(AI437&lt;&gt;0,Z437/1000/SUMPRODUCT(AM437:AO437,AI437:AK437),0)</f>
        <v>0</v>
      </c>
      <c r="AQ437" s="65"/>
      <c r="AR437" s="65"/>
      <c r="AS437" s="65"/>
      <c r="AT437" s="95">
        <f>IF(ISNUMBER(H437),H437*F437*Z437/1000*Balance!$H$13/J437,0)</f>
        <v>0</v>
      </c>
      <c r="AU437" s="95">
        <f>IF(ISTEXT(K437),IF(ISNUMBER(O437),O437*M437*Z437/1000*Balance!$H$13/Q437,0),AT437)</f>
        <v>0</v>
      </c>
      <c r="AV437" s="95">
        <f>IF(ISTEXT(R437),IF(ISNUMBER(V437),V437*T437*Z437/1000*Balance!$H$13/X437,0),AT437)</f>
        <v>0</v>
      </c>
      <c r="AW437" s="99"/>
      <c r="AX437" s="95">
        <f>AT437*AX435</f>
        <v>0</v>
      </c>
      <c r="AY437" s="95">
        <f>AU437*AY435</f>
        <v>0</v>
      </c>
      <c r="AZ437" s="95">
        <f>AV437*AZ435</f>
        <v>0</v>
      </c>
      <c r="BA437" s="95">
        <f>SUM(AX437:AZ437)</f>
        <v>0</v>
      </c>
      <c r="BB437" s="65"/>
      <c r="BC437" s="95">
        <f>IF(ISNUMBER(I437),I437*F437*Z437/1000*Balance!$H$13/J437,0)</f>
        <v>0</v>
      </c>
      <c r="BD437" s="95">
        <f>IF(ISTEXT(K437),IF(ISNUMBER(P437),P437*M437*Z437/1000*Balance!$H$13/Q437,0),BC437)</f>
        <v>0</v>
      </c>
      <c r="BE437" s="95">
        <f>IF(ISTEXT(R437),IF(ISNUMBER(W437),W437*T437*Z437/1000*Balance!$H$13/X437,0),BC437)</f>
        <v>0</v>
      </c>
      <c r="BF437" s="99"/>
      <c r="BG437" s="95">
        <f>BC437*BG435</f>
        <v>0</v>
      </c>
      <c r="BH437" s="95">
        <f>BD437*BH435</f>
        <v>0</v>
      </c>
      <c r="BI437" s="95">
        <f>BE437*BI435</f>
        <v>0</v>
      </c>
      <c r="BJ437" s="95">
        <f>SUM(BG437:BI437)</f>
        <v>0</v>
      </c>
      <c r="BK437" s="65"/>
      <c r="BL437" s="65"/>
      <c r="BM437" s="65"/>
    </row>
    <row r="438" spans="2:65" outlineLevel="1" x14ac:dyDescent="0.25">
      <c r="B438" s="201"/>
      <c r="C438" s="91"/>
      <c r="D438" s="418" t="s">
        <v>1007</v>
      </c>
      <c r="E438" s="407"/>
      <c r="F438" s="94">
        <v>1</v>
      </c>
      <c r="G438" s="136">
        <f>IF(ISNUMBER(VLOOKUP(LEFT(D438,3),'Material editor'!$D$11:$H$110,'Material editor'!$E$8,0)),VLOOKUP(LEFT(D438,3),'Material editor'!$D$11:$H$110,'Material editor'!$E$8,0),"")</f>
        <v>3.2000000000000001E-2</v>
      </c>
      <c r="H438" s="137">
        <f>IF(ISNUMBER(VLOOKUP(LEFT(D438,3),'Material editor'!$D$11:$H$110,'Material editor'!$F$8,0)),VLOOKUP(LEFT(D438,3),'Material editor'!$D$11:$H$110,'Material editor'!$F$8,0),"")</f>
        <v>217.89999999999998</v>
      </c>
      <c r="I438" s="137">
        <f>IF(ISNUMBER(VLOOKUP(LEFT(D438,3),'Material editor'!$D$11:$H$110,'Material editor'!$G$8,0)),VLOOKUP(LEFT(D438,3),'Material editor'!$D$11:$H$110,'Material editor'!$G$8,0),"")</f>
        <v>49.7</v>
      </c>
      <c r="J438" s="137">
        <f>IF(ISNUMBER(VLOOKUP(LEFT(D438,3),'Material editor'!$D$11:$H$110,'Material editor'!$H$8,0)),VLOOKUP(LEFT(D438,3),'Material editor'!$D$11:$H$110,'Material editor'!$H$8,0),"")</f>
        <v>40</v>
      </c>
      <c r="K438" s="418"/>
      <c r="L438" s="407"/>
      <c r="M438" s="94"/>
      <c r="N438" s="136" t="str">
        <f>IF(ISNUMBER(VLOOKUP(LEFT(K438,3),'Material editor'!$D$11:$H$110,'Material editor'!$E$8,0)),VLOOKUP(LEFT(K438,3),'Material editor'!$D$11:$H$110,'Material editor'!$E$8,0),"")</f>
        <v/>
      </c>
      <c r="O438" s="137" t="str">
        <f>IF(ISNUMBER(VLOOKUP(LEFT(K438,3),'Material editor'!$D$11:$H$110,'Material editor'!$F$8,0)),VLOOKUP(LEFT(K438,3),'Material editor'!$D$11:$H$110,'Material editor'!$F$8,0),"")</f>
        <v/>
      </c>
      <c r="P438" s="137" t="str">
        <f>IF(ISNUMBER(VLOOKUP(LEFT(K438,3),'Material editor'!$D$11:$H$110,'Material editor'!$G$8,0)),VLOOKUP(LEFT(K438,3),'Material editor'!$D$11:$H$110,'Material editor'!$G$8,0),"")</f>
        <v/>
      </c>
      <c r="Q438" s="137" t="str">
        <f>IF(ISNUMBER(VLOOKUP(LEFT(K438,3),'Material editor'!$D$11:$H$110,'Material editor'!$H$8,0)),VLOOKUP(LEFT(K438,3),'Material editor'!$D$11:$H$110,'Material editor'!$H$8,0),"")</f>
        <v/>
      </c>
      <c r="R438" s="418"/>
      <c r="S438" s="407"/>
      <c r="T438" s="94"/>
      <c r="U438" s="136" t="str">
        <f>IF(ISNUMBER(VLOOKUP(LEFT(R438,3),'Material editor'!$D$11:$H$110,'Material editor'!$E$8,0)),VLOOKUP(LEFT(R438,3),'Material editor'!$D$11:$H$110,'Material editor'!$E$8,0),"")</f>
        <v/>
      </c>
      <c r="V438" s="137" t="str">
        <f>IF(ISNUMBER(VLOOKUP(LEFT(R438,3),'Material editor'!$D$11:$H$110,'Material editor'!$F$8,0)),VLOOKUP(LEFT(R438,3),'Material editor'!$D$11:$H$110,'Material editor'!$F$8,0),"")</f>
        <v/>
      </c>
      <c r="W438" s="137" t="str">
        <f>IF(ISNUMBER(VLOOKUP(LEFT(R438,3),'Material editor'!$D$11:$H$110,'Material editor'!$G$8,0)),VLOOKUP(LEFT(R438,3),'Material editor'!$D$11:$H$110,'Material editor'!$G$8,0),"")</f>
        <v/>
      </c>
      <c r="X438" s="137" t="str">
        <f>IF(ISNUMBER(VLOOKUP(LEFT(R438,3),'Material editor'!$D$11:$H$110,'Material editor'!$H$8,0)),VLOOKUP(LEFT(R438,3),'Material editor'!$D$11:$H$110,'Material editor'!$H$8,0),"")</f>
        <v/>
      </c>
      <c r="Y438" s="74"/>
      <c r="Z438" s="94"/>
      <c r="AA438" s="8"/>
      <c r="AB438" s="61"/>
      <c r="AC438" s="65"/>
      <c r="AD438" s="65"/>
      <c r="AE438" s="95">
        <f t="shared" si="314"/>
        <v>0</v>
      </c>
      <c r="AF438" s="95">
        <f t="shared" si="315"/>
        <v>0</v>
      </c>
      <c r="AG438" s="95">
        <f t="shared" si="316"/>
        <v>0</v>
      </c>
      <c r="AH438" s="65"/>
      <c r="AI438" s="95">
        <f t="shared" si="317"/>
        <v>3.2000000000000001E-2</v>
      </c>
      <c r="AJ438" s="95">
        <f t="shared" si="318"/>
        <v>3.2000000000000001E-2</v>
      </c>
      <c r="AK438" s="95">
        <f t="shared" si="319"/>
        <v>3.2000000000000001E-2</v>
      </c>
      <c r="AL438" s="65"/>
      <c r="AM438" s="96">
        <f t="shared" ref="AM438:AO438" si="321">AM437</f>
        <v>1</v>
      </c>
      <c r="AN438" s="96">
        <f t="shared" si="321"/>
        <v>0</v>
      </c>
      <c r="AO438" s="96">
        <f t="shared" si="321"/>
        <v>0</v>
      </c>
      <c r="AP438" s="65">
        <f t="shared" si="320"/>
        <v>0</v>
      </c>
      <c r="AQ438" s="65"/>
      <c r="AR438" s="65"/>
      <c r="AS438" s="65"/>
      <c r="AT438" s="95">
        <f>IF(ISNUMBER(H438),H438*F438*Z438/1000*Balance!$H$13/J438,0)</f>
        <v>0</v>
      </c>
      <c r="AU438" s="95">
        <f>IF(ISTEXT(K438),IF(ISNUMBER(O438),O438*M438*Z438/1000*Balance!$H$13/Q438,0),AT438)</f>
        <v>0</v>
      </c>
      <c r="AV438" s="95">
        <f>IF(ISTEXT(R438),IF(ISNUMBER(V438),V438*T438*Z438/1000*Balance!$H$13/X438,0),AT438)</f>
        <v>0</v>
      </c>
      <c r="AW438" s="65"/>
      <c r="AX438" s="95">
        <f>AT438*AX435</f>
        <v>0</v>
      </c>
      <c r="AY438" s="95">
        <f>AU438*AY435</f>
        <v>0</v>
      </c>
      <c r="AZ438" s="95">
        <f>AV438*AZ435</f>
        <v>0</v>
      </c>
      <c r="BA438" s="95">
        <f t="shared" ref="BA438:BA444" si="322">SUM(AX438:AZ438)</f>
        <v>0</v>
      </c>
      <c r="BB438" s="65"/>
      <c r="BC438" s="95">
        <f>IF(ISNUMBER(I438),I438*F438*Z438/1000*Balance!$H$13/J438,0)</f>
        <v>0</v>
      </c>
      <c r="BD438" s="95">
        <f>IF(ISTEXT(K438),IF(ISNUMBER(P438),P438*M438*Z438/1000*Balance!$H$13/Q438,0),BC438)</f>
        <v>0</v>
      </c>
      <c r="BE438" s="95">
        <f>IF(ISTEXT(R438),IF(ISNUMBER(W438),W438*T438*Z438/1000*Balance!$H$13/X438,0),BC438)</f>
        <v>0</v>
      </c>
      <c r="BF438" s="65"/>
      <c r="BG438" s="95">
        <f>BC438*BG435</f>
        <v>0</v>
      </c>
      <c r="BH438" s="95">
        <f>BD438*BH435</f>
        <v>0</v>
      </c>
      <c r="BI438" s="95">
        <f>BE438*BI435</f>
        <v>0</v>
      </c>
      <c r="BJ438" s="95">
        <f t="shared" ref="BJ438:BJ444" si="323">SUM(BG438:BI438)</f>
        <v>0</v>
      </c>
      <c r="BK438" s="65"/>
      <c r="BL438" s="65"/>
      <c r="BM438" s="65"/>
    </row>
    <row r="439" spans="2:65" outlineLevel="1" x14ac:dyDescent="0.25">
      <c r="B439" s="201"/>
      <c r="C439" s="91"/>
      <c r="D439" s="418"/>
      <c r="E439" s="407"/>
      <c r="F439" s="94"/>
      <c r="G439" s="136" t="str">
        <f>IF(ISNUMBER(VLOOKUP(LEFT(D439,3),'Material editor'!$D$11:$H$110,'Material editor'!$E$8,0)),VLOOKUP(LEFT(D439,3),'Material editor'!$D$11:$H$110,'Material editor'!$E$8,0),"")</f>
        <v/>
      </c>
      <c r="H439" s="137" t="str">
        <f>IF(ISNUMBER(VLOOKUP(LEFT(D439,3),'Material editor'!$D$11:$H$110,'Material editor'!$F$8,0)),VLOOKUP(LEFT(D439,3),'Material editor'!$D$11:$H$110,'Material editor'!$F$8,0),"")</f>
        <v/>
      </c>
      <c r="I439" s="137" t="str">
        <f>IF(ISNUMBER(VLOOKUP(LEFT(D439,3),'Material editor'!$D$11:$H$110,'Material editor'!$G$8,0)),VLOOKUP(LEFT(D439,3),'Material editor'!$D$11:$H$110,'Material editor'!$G$8,0),"")</f>
        <v/>
      </c>
      <c r="J439" s="137" t="str">
        <f>IF(ISNUMBER(VLOOKUP(LEFT(D439,3),'Material editor'!$D$11:$H$110,'Material editor'!$H$8,0)),VLOOKUP(LEFT(D439,3),'Material editor'!$D$11:$H$110,'Material editor'!$H$8,0),"")</f>
        <v/>
      </c>
      <c r="K439" s="418"/>
      <c r="L439" s="407"/>
      <c r="M439" s="94"/>
      <c r="N439" s="136" t="str">
        <f>IF(ISNUMBER(VLOOKUP(LEFT(K439,3),'Material editor'!$D$11:$H$110,'Material editor'!$E$8,0)),VLOOKUP(LEFT(K439,3),'Material editor'!$D$11:$H$110,'Material editor'!$E$8,0),"")</f>
        <v/>
      </c>
      <c r="O439" s="137" t="str">
        <f>IF(ISNUMBER(VLOOKUP(LEFT(K439,3),'Material editor'!$D$11:$H$110,'Material editor'!$F$8,0)),VLOOKUP(LEFT(K439,3),'Material editor'!$D$11:$H$110,'Material editor'!$F$8,0),"")</f>
        <v/>
      </c>
      <c r="P439" s="137" t="str">
        <f>IF(ISNUMBER(VLOOKUP(LEFT(K439,3),'Material editor'!$D$11:$H$110,'Material editor'!$G$8,0)),VLOOKUP(LEFT(K439,3),'Material editor'!$D$11:$H$110,'Material editor'!$G$8,0),"")</f>
        <v/>
      </c>
      <c r="Q439" s="137" t="str">
        <f>IF(ISNUMBER(VLOOKUP(LEFT(K439,3),'Material editor'!$D$11:$H$110,'Material editor'!$H$8,0)),VLOOKUP(LEFT(K439,3),'Material editor'!$D$11:$H$110,'Material editor'!$H$8,0),"")</f>
        <v/>
      </c>
      <c r="R439" s="418"/>
      <c r="S439" s="407"/>
      <c r="T439" s="94"/>
      <c r="U439" s="136" t="str">
        <f>IF(ISNUMBER(VLOOKUP(LEFT(R439,3),'Material editor'!$D$11:$H$110,'Material editor'!$E$8,0)),VLOOKUP(LEFT(R439,3),'Material editor'!$D$11:$H$110,'Material editor'!$E$8,0),"")</f>
        <v/>
      </c>
      <c r="V439" s="137" t="str">
        <f>IF(ISNUMBER(VLOOKUP(LEFT(R439,3),'Material editor'!$D$11:$H$110,'Material editor'!$F$8,0)),VLOOKUP(LEFT(R439,3),'Material editor'!$D$11:$H$110,'Material editor'!$F$8,0),"")</f>
        <v/>
      </c>
      <c r="W439" s="137" t="str">
        <f>IF(ISNUMBER(VLOOKUP(LEFT(R439,3),'Material editor'!$D$11:$H$110,'Material editor'!$G$8,0)),VLOOKUP(LEFT(R439,3),'Material editor'!$D$11:$H$110,'Material editor'!$G$8,0),"")</f>
        <v/>
      </c>
      <c r="X439" s="137" t="str">
        <f>IF(ISNUMBER(VLOOKUP(LEFT(R439,3),'Material editor'!$D$11:$H$110,'Material editor'!$H$8,0)),VLOOKUP(LEFT(R439,3),'Material editor'!$D$11:$H$110,'Material editor'!$H$8,0),"")</f>
        <v/>
      </c>
      <c r="Y439" s="74"/>
      <c r="Z439" s="94"/>
      <c r="AA439" s="8"/>
      <c r="AB439" s="61"/>
      <c r="AC439" s="65"/>
      <c r="AD439" s="65"/>
      <c r="AE439" s="95">
        <f t="shared" si="314"/>
        <v>0</v>
      </c>
      <c r="AF439" s="95">
        <f t="shared" si="315"/>
        <v>0</v>
      </c>
      <c r="AG439" s="95">
        <f t="shared" si="316"/>
        <v>0</v>
      </c>
      <c r="AH439" s="65"/>
      <c r="AI439" s="95">
        <f t="shared" si="317"/>
        <v>0</v>
      </c>
      <c r="AJ439" s="95">
        <f t="shared" si="318"/>
        <v>0</v>
      </c>
      <c r="AK439" s="95">
        <f t="shared" si="319"/>
        <v>0</v>
      </c>
      <c r="AL439" s="65"/>
      <c r="AM439" s="96">
        <f t="shared" ref="AM439:AO439" si="324">AM438</f>
        <v>1</v>
      </c>
      <c r="AN439" s="96">
        <f t="shared" si="324"/>
        <v>0</v>
      </c>
      <c r="AO439" s="96">
        <f t="shared" si="324"/>
        <v>0</v>
      </c>
      <c r="AP439" s="65">
        <f t="shared" si="320"/>
        <v>0</v>
      </c>
      <c r="AQ439" s="65"/>
      <c r="AR439" s="65"/>
      <c r="AS439" s="65"/>
      <c r="AT439" s="95">
        <f>IF(ISNUMBER(H439),H439*F439*Z439/1000*Balance!$H$13/J439,0)</f>
        <v>0</v>
      </c>
      <c r="AU439" s="95">
        <f>IF(ISTEXT(K439),IF(ISNUMBER(O439),O439*M439*Z439/1000*Balance!$H$13/Q439,0),AT439)</f>
        <v>0</v>
      </c>
      <c r="AV439" s="95">
        <f>IF(ISTEXT(R439),IF(ISNUMBER(V439),V439*T439*Z439/1000*Balance!$H$13/X439,0),AT439)</f>
        <v>0</v>
      </c>
      <c r="AW439" s="65"/>
      <c r="AX439" s="95">
        <f>AT439*AX435</f>
        <v>0</v>
      </c>
      <c r="AY439" s="95">
        <f>AU439*AY435</f>
        <v>0</v>
      </c>
      <c r="AZ439" s="95">
        <f>AV439*AZ435</f>
        <v>0</v>
      </c>
      <c r="BA439" s="95">
        <f t="shared" si="322"/>
        <v>0</v>
      </c>
      <c r="BB439" s="65"/>
      <c r="BC439" s="95">
        <f>IF(ISNUMBER(I439),I439*F439*Z439/1000*Balance!$H$13/J439,0)</f>
        <v>0</v>
      </c>
      <c r="BD439" s="95">
        <f>IF(ISTEXT(K439),IF(ISNUMBER(P439),P439*M439*Z439/1000*Balance!$H$13/Q439,0),BC439)</f>
        <v>0</v>
      </c>
      <c r="BE439" s="95">
        <f>IF(ISTEXT(R439),IF(ISNUMBER(W439),W439*T439*Z439/1000*Balance!$H$13/X439,0),BC439)</f>
        <v>0</v>
      </c>
      <c r="BF439" s="65"/>
      <c r="BG439" s="95">
        <f>BC439*BG435</f>
        <v>0</v>
      </c>
      <c r="BH439" s="95">
        <f>BD439*BH435</f>
        <v>0</v>
      </c>
      <c r="BI439" s="95">
        <f>BE439*BI435</f>
        <v>0</v>
      </c>
      <c r="BJ439" s="95">
        <f t="shared" si="323"/>
        <v>0</v>
      </c>
      <c r="BK439" s="65"/>
      <c r="BL439" s="65"/>
      <c r="BM439" s="65"/>
    </row>
    <row r="440" spans="2:65" outlineLevel="1" x14ac:dyDescent="0.25">
      <c r="B440" s="201"/>
      <c r="C440" s="91"/>
      <c r="D440" s="418"/>
      <c r="E440" s="407"/>
      <c r="F440" s="94"/>
      <c r="G440" s="136" t="str">
        <f>IF(ISNUMBER(VLOOKUP(LEFT(D440,3),'Material editor'!$D$11:$H$110,'Material editor'!$E$8,0)),VLOOKUP(LEFT(D440,3),'Material editor'!$D$11:$H$110,'Material editor'!$E$8,0),"")</f>
        <v/>
      </c>
      <c r="H440" s="137" t="str">
        <f>IF(ISNUMBER(VLOOKUP(LEFT(D440,3),'Material editor'!$D$11:$H$110,'Material editor'!$F$8,0)),VLOOKUP(LEFT(D440,3),'Material editor'!$D$11:$H$110,'Material editor'!$F$8,0),"")</f>
        <v/>
      </c>
      <c r="I440" s="137" t="str">
        <f>IF(ISNUMBER(VLOOKUP(LEFT(D440,3),'Material editor'!$D$11:$H$110,'Material editor'!$G$8,0)),VLOOKUP(LEFT(D440,3),'Material editor'!$D$11:$H$110,'Material editor'!$G$8,0),"")</f>
        <v/>
      </c>
      <c r="J440" s="137" t="str">
        <f>IF(ISNUMBER(VLOOKUP(LEFT(D440,3),'Material editor'!$D$11:$H$110,'Material editor'!$H$8,0)),VLOOKUP(LEFT(D440,3),'Material editor'!$D$11:$H$110,'Material editor'!$H$8,0),"")</f>
        <v/>
      </c>
      <c r="K440" s="418"/>
      <c r="L440" s="407"/>
      <c r="M440" s="94"/>
      <c r="N440" s="136" t="str">
        <f>IF(ISNUMBER(VLOOKUP(LEFT(K440,3),'Material editor'!$D$11:$H$110,'Material editor'!$E$8,0)),VLOOKUP(LEFT(K440,3),'Material editor'!$D$11:$H$110,'Material editor'!$E$8,0),"")</f>
        <v/>
      </c>
      <c r="O440" s="137" t="str">
        <f>IF(ISNUMBER(VLOOKUP(LEFT(K440,3),'Material editor'!$D$11:$H$110,'Material editor'!$F$8,0)),VLOOKUP(LEFT(K440,3),'Material editor'!$D$11:$H$110,'Material editor'!$F$8,0),"")</f>
        <v/>
      </c>
      <c r="P440" s="137" t="str">
        <f>IF(ISNUMBER(VLOOKUP(LEFT(K440,3),'Material editor'!$D$11:$H$110,'Material editor'!$G$8,0)),VLOOKUP(LEFT(K440,3),'Material editor'!$D$11:$H$110,'Material editor'!$G$8,0),"")</f>
        <v/>
      </c>
      <c r="Q440" s="137" t="str">
        <f>IF(ISNUMBER(VLOOKUP(LEFT(K440,3),'Material editor'!$D$11:$H$110,'Material editor'!$H$8,0)),VLOOKUP(LEFT(K440,3),'Material editor'!$D$11:$H$110,'Material editor'!$H$8,0),"")</f>
        <v/>
      </c>
      <c r="R440" s="418"/>
      <c r="S440" s="407"/>
      <c r="T440" s="94"/>
      <c r="U440" s="136" t="str">
        <f>IF(ISNUMBER(VLOOKUP(LEFT(R440,3),'Material editor'!$D$11:$H$110,'Material editor'!$E$8,0)),VLOOKUP(LEFT(R440,3),'Material editor'!$D$11:$H$110,'Material editor'!$E$8,0),"")</f>
        <v/>
      </c>
      <c r="V440" s="137" t="str">
        <f>IF(ISNUMBER(VLOOKUP(LEFT(R440,3),'Material editor'!$D$11:$H$110,'Material editor'!$F$8,0)),VLOOKUP(LEFT(R440,3),'Material editor'!$D$11:$H$110,'Material editor'!$F$8,0),"")</f>
        <v/>
      </c>
      <c r="W440" s="137" t="str">
        <f>IF(ISNUMBER(VLOOKUP(LEFT(R440,3),'Material editor'!$D$11:$H$110,'Material editor'!$G$8,0)),VLOOKUP(LEFT(R440,3),'Material editor'!$D$11:$H$110,'Material editor'!$G$8,0),"")</f>
        <v/>
      </c>
      <c r="X440" s="137" t="str">
        <f>IF(ISNUMBER(VLOOKUP(LEFT(R440,3),'Material editor'!$D$11:$H$110,'Material editor'!$H$8,0)),VLOOKUP(LEFT(R440,3),'Material editor'!$D$11:$H$110,'Material editor'!$H$8,0),"")</f>
        <v/>
      </c>
      <c r="Y440" s="74"/>
      <c r="Z440" s="94"/>
      <c r="AA440" s="8"/>
      <c r="AB440" s="61"/>
      <c r="AC440" s="65"/>
      <c r="AD440" s="65"/>
      <c r="AE440" s="95">
        <f t="shared" si="314"/>
        <v>0</v>
      </c>
      <c r="AF440" s="95">
        <f t="shared" si="315"/>
        <v>0</v>
      </c>
      <c r="AG440" s="95">
        <f t="shared" si="316"/>
        <v>0</v>
      </c>
      <c r="AH440" s="65"/>
      <c r="AI440" s="95">
        <f t="shared" si="317"/>
        <v>0</v>
      </c>
      <c r="AJ440" s="95">
        <f t="shared" si="318"/>
        <v>0</v>
      </c>
      <c r="AK440" s="95">
        <f t="shared" si="319"/>
        <v>0</v>
      </c>
      <c r="AL440" s="65"/>
      <c r="AM440" s="96">
        <f t="shared" ref="AM440:AO440" si="325">AM439</f>
        <v>1</v>
      </c>
      <c r="AN440" s="96">
        <f t="shared" si="325"/>
        <v>0</v>
      </c>
      <c r="AO440" s="96">
        <f t="shared" si="325"/>
        <v>0</v>
      </c>
      <c r="AP440" s="65">
        <f t="shared" si="320"/>
        <v>0</v>
      </c>
      <c r="AQ440" s="65"/>
      <c r="AR440" s="65"/>
      <c r="AS440" s="65"/>
      <c r="AT440" s="95">
        <f>IF(ISNUMBER(H440),H440*F440*Z440/1000*Balance!$H$13/J440,0)</f>
        <v>0</v>
      </c>
      <c r="AU440" s="95">
        <f>IF(ISTEXT(K440),IF(ISNUMBER(O440),O440*M440*Z440/1000*Balance!$H$13/Q440,0),AT440)</f>
        <v>0</v>
      </c>
      <c r="AV440" s="95">
        <f>IF(ISTEXT(R440),IF(ISNUMBER(V440),V440*T440*Z440/1000*Balance!$H$13/X440,0),AT440)</f>
        <v>0</v>
      </c>
      <c r="AW440" s="65"/>
      <c r="AX440" s="95">
        <f>AT440*AX435</f>
        <v>0</v>
      </c>
      <c r="AY440" s="95">
        <f>AU440*AY435</f>
        <v>0</v>
      </c>
      <c r="AZ440" s="95">
        <f>AV440*AZ435</f>
        <v>0</v>
      </c>
      <c r="BA440" s="95">
        <f t="shared" si="322"/>
        <v>0</v>
      </c>
      <c r="BB440" s="65"/>
      <c r="BC440" s="95">
        <f>IF(ISNUMBER(I440),I440*F440*Z440/1000*Balance!$H$13/J440,0)</f>
        <v>0</v>
      </c>
      <c r="BD440" s="95">
        <f>IF(ISTEXT(K440),IF(ISNUMBER(P440),P440*M440*Z440/1000*Balance!$H$13/Q440,0),BC440)</f>
        <v>0</v>
      </c>
      <c r="BE440" s="95">
        <f>IF(ISTEXT(R440),IF(ISNUMBER(W440),W440*T440*Z440/1000*Balance!$H$13/X440,0),BC440)</f>
        <v>0</v>
      </c>
      <c r="BF440" s="65"/>
      <c r="BG440" s="95">
        <f>BC440*BG435</f>
        <v>0</v>
      </c>
      <c r="BH440" s="95">
        <f>BD440*BH435</f>
        <v>0</v>
      </c>
      <c r="BI440" s="95">
        <f>BE440*BI435</f>
        <v>0</v>
      </c>
      <c r="BJ440" s="95">
        <f t="shared" si="323"/>
        <v>0</v>
      </c>
      <c r="BK440" s="65"/>
      <c r="BL440" s="65"/>
      <c r="BM440" s="65"/>
    </row>
    <row r="441" spans="2:65" outlineLevel="1" x14ac:dyDescent="0.25">
      <c r="B441" s="201"/>
      <c r="C441" s="91"/>
      <c r="D441" s="418"/>
      <c r="E441" s="407"/>
      <c r="F441" s="94"/>
      <c r="G441" s="136" t="str">
        <f>IF(ISNUMBER(VLOOKUP(LEFT(D441,3),'Material editor'!$D$11:$H$110,'Material editor'!$E$8,0)),VLOOKUP(LEFT(D441,3),'Material editor'!$D$11:$H$110,'Material editor'!$E$8,0),"")</f>
        <v/>
      </c>
      <c r="H441" s="137" t="str">
        <f>IF(ISNUMBER(VLOOKUP(LEFT(D441,3),'Material editor'!$D$11:$H$110,'Material editor'!$F$8,0)),VLOOKUP(LEFT(D441,3),'Material editor'!$D$11:$H$110,'Material editor'!$F$8,0),"")</f>
        <v/>
      </c>
      <c r="I441" s="137" t="str">
        <f>IF(ISNUMBER(VLOOKUP(LEFT(D441,3),'Material editor'!$D$11:$H$110,'Material editor'!$G$8,0)),VLOOKUP(LEFT(D441,3),'Material editor'!$D$11:$H$110,'Material editor'!$G$8,0),"")</f>
        <v/>
      </c>
      <c r="J441" s="137" t="str">
        <f>IF(ISNUMBER(VLOOKUP(LEFT(D441,3),'Material editor'!$D$11:$H$110,'Material editor'!$H$8,0)),VLOOKUP(LEFT(D441,3),'Material editor'!$D$11:$H$110,'Material editor'!$H$8,0),"")</f>
        <v/>
      </c>
      <c r="K441" s="418"/>
      <c r="L441" s="407"/>
      <c r="M441" s="94"/>
      <c r="N441" s="136" t="str">
        <f>IF(ISNUMBER(VLOOKUP(LEFT(K441,3),'Material editor'!$D$11:$H$110,'Material editor'!$E$8,0)),VLOOKUP(LEFT(K441,3),'Material editor'!$D$11:$H$110,'Material editor'!$E$8,0),"")</f>
        <v/>
      </c>
      <c r="O441" s="137" t="str">
        <f>IF(ISNUMBER(VLOOKUP(LEFT(K441,3),'Material editor'!$D$11:$H$110,'Material editor'!$F$8,0)),VLOOKUP(LEFT(K441,3),'Material editor'!$D$11:$H$110,'Material editor'!$F$8,0),"")</f>
        <v/>
      </c>
      <c r="P441" s="137" t="str">
        <f>IF(ISNUMBER(VLOOKUP(LEFT(K441,3),'Material editor'!$D$11:$H$110,'Material editor'!$G$8,0)),VLOOKUP(LEFT(K441,3),'Material editor'!$D$11:$H$110,'Material editor'!$G$8,0),"")</f>
        <v/>
      </c>
      <c r="Q441" s="137" t="str">
        <f>IF(ISNUMBER(VLOOKUP(LEFT(K441,3),'Material editor'!$D$11:$H$110,'Material editor'!$H$8,0)),VLOOKUP(LEFT(K441,3),'Material editor'!$D$11:$H$110,'Material editor'!$H$8,0),"")</f>
        <v/>
      </c>
      <c r="R441" s="418"/>
      <c r="S441" s="407"/>
      <c r="T441" s="94"/>
      <c r="U441" s="136" t="str">
        <f>IF(ISNUMBER(VLOOKUP(LEFT(R441,3),'Material editor'!$D$11:$H$110,'Material editor'!$E$8,0)),VLOOKUP(LEFT(R441,3),'Material editor'!$D$11:$H$110,'Material editor'!$E$8,0),"")</f>
        <v/>
      </c>
      <c r="V441" s="137" t="str">
        <f>IF(ISNUMBER(VLOOKUP(LEFT(R441,3),'Material editor'!$D$11:$H$110,'Material editor'!$F$8,0)),VLOOKUP(LEFT(R441,3),'Material editor'!$D$11:$H$110,'Material editor'!$F$8,0),"")</f>
        <v/>
      </c>
      <c r="W441" s="137" t="str">
        <f>IF(ISNUMBER(VLOOKUP(LEFT(R441,3),'Material editor'!$D$11:$H$110,'Material editor'!$G$8,0)),VLOOKUP(LEFT(R441,3),'Material editor'!$D$11:$H$110,'Material editor'!$G$8,0),"")</f>
        <v/>
      </c>
      <c r="X441" s="137" t="str">
        <f>IF(ISNUMBER(VLOOKUP(LEFT(R441,3),'Material editor'!$D$11:$H$110,'Material editor'!$H$8,0)),VLOOKUP(LEFT(R441,3),'Material editor'!$D$11:$H$110,'Material editor'!$H$8,0),"")</f>
        <v/>
      </c>
      <c r="Y441" s="74"/>
      <c r="Z441" s="94"/>
      <c r="AA441" s="8"/>
      <c r="AB441" s="61"/>
      <c r="AC441" s="65"/>
      <c r="AD441" s="65"/>
      <c r="AE441" s="95">
        <f t="shared" si="314"/>
        <v>0</v>
      </c>
      <c r="AF441" s="95">
        <f t="shared" si="315"/>
        <v>0</v>
      </c>
      <c r="AG441" s="95">
        <f t="shared" si="316"/>
        <v>0</v>
      </c>
      <c r="AH441" s="65"/>
      <c r="AI441" s="95">
        <f t="shared" si="317"/>
        <v>0</v>
      </c>
      <c r="AJ441" s="95">
        <f t="shared" si="318"/>
        <v>0</v>
      </c>
      <c r="AK441" s="95">
        <f t="shared" si="319"/>
        <v>0</v>
      </c>
      <c r="AL441" s="65"/>
      <c r="AM441" s="96">
        <f t="shared" ref="AM441:AO441" si="326">AM440</f>
        <v>1</v>
      </c>
      <c r="AN441" s="96">
        <f t="shared" si="326"/>
        <v>0</v>
      </c>
      <c r="AO441" s="96">
        <f t="shared" si="326"/>
        <v>0</v>
      </c>
      <c r="AP441" s="65">
        <f t="shared" si="320"/>
        <v>0</v>
      </c>
      <c r="AQ441" s="65"/>
      <c r="AR441" s="65"/>
      <c r="AS441" s="65"/>
      <c r="AT441" s="95">
        <f>IF(ISNUMBER(H441),H441*F441*Z441/1000*Balance!$H$13/J441,0)</f>
        <v>0</v>
      </c>
      <c r="AU441" s="95">
        <f>IF(ISTEXT(K441),IF(ISNUMBER(O441),O441*M441*Z441/1000*Balance!$H$13/Q441,0),AT441)</f>
        <v>0</v>
      </c>
      <c r="AV441" s="95">
        <f>IF(ISTEXT(R441),IF(ISNUMBER(V441),V441*T441*Z441/1000*Balance!$H$13/X441,0),AT441)</f>
        <v>0</v>
      </c>
      <c r="AW441" s="65"/>
      <c r="AX441" s="95">
        <f>AT441*AX435</f>
        <v>0</v>
      </c>
      <c r="AY441" s="95">
        <f>AU441*AY435</f>
        <v>0</v>
      </c>
      <c r="AZ441" s="95">
        <f>AV441*AZ435</f>
        <v>0</v>
      </c>
      <c r="BA441" s="95">
        <f t="shared" si="322"/>
        <v>0</v>
      </c>
      <c r="BB441" s="65"/>
      <c r="BC441" s="95">
        <f>IF(ISNUMBER(I441),I441*F441*Z441/1000*Balance!$H$13/J441,0)</f>
        <v>0</v>
      </c>
      <c r="BD441" s="95">
        <f>IF(ISTEXT(K441),IF(ISNUMBER(P441),P441*M441*Z441/1000*Balance!$H$13/Q441,0),BC441)</f>
        <v>0</v>
      </c>
      <c r="BE441" s="95">
        <f>IF(ISTEXT(R441),IF(ISNUMBER(W441),W441*T441*Z441/1000*Balance!$H$13/X441,0),BC441)</f>
        <v>0</v>
      </c>
      <c r="BF441" s="65"/>
      <c r="BG441" s="95">
        <f>BC441*BG435</f>
        <v>0</v>
      </c>
      <c r="BH441" s="95">
        <f>BD441*BH435</f>
        <v>0</v>
      </c>
      <c r="BI441" s="95">
        <f>BE441*BI435</f>
        <v>0</v>
      </c>
      <c r="BJ441" s="95">
        <f t="shared" si="323"/>
        <v>0</v>
      </c>
      <c r="BK441" s="65"/>
      <c r="BL441" s="65"/>
      <c r="BM441" s="65"/>
    </row>
    <row r="442" spans="2:65" outlineLevel="1" x14ac:dyDescent="0.25">
      <c r="B442" s="201"/>
      <c r="C442" s="91"/>
      <c r="D442" s="418"/>
      <c r="E442" s="407"/>
      <c r="F442" s="94"/>
      <c r="G442" s="136" t="str">
        <f>IF(ISNUMBER(VLOOKUP(LEFT(D442,3),'Material editor'!$D$11:$H$110,'Material editor'!$E$8,0)),VLOOKUP(LEFT(D442,3),'Material editor'!$D$11:$H$110,'Material editor'!$E$8,0),"")</f>
        <v/>
      </c>
      <c r="H442" s="137" t="str">
        <f>IF(ISNUMBER(VLOOKUP(LEFT(D442,3),'Material editor'!$D$11:$H$110,'Material editor'!$F$8,0)),VLOOKUP(LEFT(D442,3),'Material editor'!$D$11:$H$110,'Material editor'!$F$8,0),"")</f>
        <v/>
      </c>
      <c r="I442" s="137" t="str">
        <f>IF(ISNUMBER(VLOOKUP(LEFT(D442,3),'Material editor'!$D$11:$H$110,'Material editor'!$G$8,0)),VLOOKUP(LEFT(D442,3),'Material editor'!$D$11:$H$110,'Material editor'!$G$8,0),"")</f>
        <v/>
      </c>
      <c r="J442" s="137" t="str">
        <f>IF(ISNUMBER(VLOOKUP(LEFT(D442,3),'Material editor'!$D$11:$H$110,'Material editor'!$H$8,0)),VLOOKUP(LEFT(D442,3),'Material editor'!$D$11:$H$110,'Material editor'!$H$8,0),"")</f>
        <v/>
      </c>
      <c r="K442" s="418"/>
      <c r="L442" s="407"/>
      <c r="M442" s="94"/>
      <c r="N442" s="136" t="str">
        <f>IF(ISNUMBER(VLOOKUP(LEFT(K442,3),'Material editor'!$D$11:$H$110,'Material editor'!$E$8,0)),VLOOKUP(LEFT(K442,3),'Material editor'!$D$11:$H$110,'Material editor'!$E$8,0),"")</f>
        <v/>
      </c>
      <c r="O442" s="137" t="str">
        <f>IF(ISNUMBER(VLOOKUP(LEFT(K442,3),'Material editor'!$D$11:$H$110,'Material editor'!$F$8,0)),VLOOKUP(LEFT(K442,3),'Material editor'!$D$11:$H$110,'Material editor'!$F$8,0),"")</f>
        <v/>
      </c>
      <c r="P442" s="137" t="str">
        <f>IF(ISNUMBER(VLOOKUP(LEFT(K442,3),'Material editor'!$D$11:$H$110,'Material editor'!$G$8,0)),VLOOKUP(LEFT(K442,3),'Material editor'!$D$11:$H$110,'Material editor'!$G$8,0),"")</f>
        <v/>
      </c>
      <c r="Q442" s="137" t="str">
        <f>IF(ISNUMBER(VLOOKUP(LEFT(K442,3),'Material editor'!$D$11:$H$110,'Material editor'!$H$8,0)),VLOOKUP(LEFT(K442,3),'Material editor'!$D$11:$H$110,'Material editor'!$H$8,0),"")</f>
        <v/>
      </c>
      <c r="R442" s="418"/>
      <c r="S442" s="407"/>
      <c r="T442" s="94"/>
      <c r="U442" s="136" t="str">
        <f>IF(ISNUMBER(VLOOKUP(LEFT(R442,3),'Material editor'!$D$11:$H$110,'Material editor'!$E$8,0)),VLOOKUP(LEFT(R442,3),'Material editor'!$D$11:$H$110,'Material editor'!$E$8,0),"")</f>
        <v/>
      </c>
      <c r="V442" s="137" t="str">
        <f>IF(ISNUMBER(VLOOKUP(LEFT(R442,3),'Material editor'!$D$11:$H$110,'Material editor'!$F$8,0)),VLOOKUP(LEFT(R442,3),'Material editor'!$D$11:$H$110,'Material editor'!$F$8,0),"")</f>
        <v/>
      </c>
      <c r="W442" s="137" t="str">
        <f>IF(ISNUMBER(VLOOKUP(LEFT(R442,3),'Material editor'!$D$11:$H$110,'Material editor'!$G$8,0)),VLOOKUP(LEFT(R442,3),'Material editor'!$D$11:$H$110,'Material editor'!$G$8,0),"")</f>
        <v/>
      </c>
      <c r="X442" s="137" t="str">
        <f>IF(ISNUMBER(VLOOKUP(LEFT(R442,3),'Material editor'!$D$11:$H$110,'Material editor'!$H$8,0)),VLOOKUP(LEFT(R442,3),'Material editor'!$D$11:$H$110,'Material editor'!$H$8,0),"")</f>
        <v/>
      </c>
      <c r="Y442" s="74"/>
      <c r="Z442" s="94"/>
      <c r="AA442" s="8"/>
      <c r="AB442" s="61"/>
      <c r="AC442" s="65"/>
      <c r="AD442" s="65"/>
      <c r="AE442" s="95">
        <f t="shared" si="314"/>
        <v>0</v>
      </c>
      <c r="AF442" s="95">
        <f t="shared" si="315"/>
        <v>0</v>
      </c>
      <c r="AG442" s="95">
        <f t="shared" si="316"/>
        <v>0</v>
      </c>
      <c r="AH442" s="65"/>
      <c r="AI442" s="95">
        <f t="shared" si="317"/>
        <v>0</v>
      </c>
      <c r="AJ442" s="95">
        <f t="shared" si="318"/>
        <v>0</v>
      </c>
      <c r="AK442" s="95">
        <f t="shared" si="319"/>
        <v>0</v>
      </c>
      <c r="AL442" s="65"/>
      <c r="AM442" s="96">
        <f t="shared" ref="AM442:AO442" si="327">AM441</f>
        <v>1</v>
      </c>
      <c r="AN442" s="96">
        <f t="shared" si="327"/>
        <v>0</v>
      </c>
      <c r="AO442" s="96">
        <f t="shared" si="327"/>
        <v>0</v>
      </c>
      <c r="AP442" s="65">
        <f t="shared" si="320"/>
        <v>0</v>
      </c>
      <c r="AQ442" s="65"/>
      <c r="AR442" s="65"/>
      <c r="AS442" s="66"/>
      <c r="AT442" s="95">
        <f>IF(ISNUMBER(H442),H442*F442*Z442/1000*Balance!$H$13/J442,0)</f>
        <v>0</v>
      </c>
      <c r="AU442" s="95">
        <f>IF(ISTEXT(K442),IF(ISNUMBER(O442),O442*M442*Z442/1000*Balance!$H$13/Q442,0),AT442)</f>
        <v>0</v>
      </c>
      <c r="AV442" s="95">
        <f>IF(ISTEXT(R442),IF(ISNUMBER(V442),V442*T442*Z442/1000*Balance!$H$13/X442,0),AT442)</f>
        <v>0</v>
      </c>
      <c r="AW442" s="66"/>
      <c r="AX442" s="95">
        <f>AT442*AX435</f>
        <v>0</v>
      </c>
      <c r="AY442" s="95">
        <f>AU442*AY435</f>
        <v>0</v>
      </c>
      <c r="AZ442" s="95">
        <f>AV442*AZ435</f>
        <v>0</v>
      </c>
      <c r="BA442" s="95">
        <f t="shared" si="322"/>
        <v>0</v>
      </c>
      <c r="BB442" s="66"/>
      <c r="BC442" s="95">
        <f>IF(ISNUMBER(I442),I442*F442*Z442/1000*Balance!$H$13/J442,0)</f>
        <v>0</v>
      </c>
      <c r="BD442" s="95">
        <f>IF(ISTEXT(K442),IF(ISNUMBER(P442),P442*M442*Z442/1000*Balance!$H$13/Q442,0),BC442)</f>
        <v>0</v>
      </c>
      <c r="BE442" s="95">
        <f>IF(ISTEXT(R442),IF(ISNUMBER(W442),W442*T442*Z442/1000*Balance!$H$13/X442,0),BC442)</f>
        <v>0</v>
      </c>
      <c r="BF442" s="66"/>
      <c r="BG442" s="95">
        <f>BC442*BG435</f>
        <v>0</v>
      </c>
      <c r="BH442" s="95">
        <f>BD442*BH435</f>
        <v>0</v>
      </c>
      <c r="BI442" s="95">
        <f>BE442*BI435</f>
        <v>0</v>
      </c>
      <c r="BJ442" s="95">
        <f t="shared" si="323"/>
        <v>0</v>
      </c>
      <c r="BK442" s="66"/>
      <c r="BL442" s="66"/>
      <c r="BM442" s="66"/>
    </row>
    <row r="443" spans="2:65" outlineLevel="1" x14ac:dyDescent="0.25">
      <c r="B443" s="201"/>
      <c r="C443" s="91"/>
      <c r="D443" s="418"/>
      <c r="E443" s="407"/>
      <c r="F443" s="94"/>
      <c r="G443" s="136" t="str">
        <f>IF(ISNUMBER(VLOOKUP(LEFT(D443,3),'Material editor'!$D$11:$H$110,'Material editor'!$E$8,0)),VLOOKUP(LEFT(D443,3),'Material editor'!$D$11:$H$110,'Material editor'!$E$8,0),"")</f>
        <v/>
      </c>
      <c r="H443" s="137" t="str">
        <f>IF(ISNUMBER(VLOOKUP(LEFT(D443,3),'Material editor'!$D$11:$H$110,'Material editor'!$F$8,0)),VLOOKUP(LEFT(D443,3),'Material editor'!$D$11:$H$110,'Material editor'!$F$8,0),"")</f>
        <v/>
      </c>
      <c r="I443" s="137" t="str">
        <f>IF(ISNUMBER(VLOOKUP(LEFT(D443,3),'Material editor'!$D$11:$H$110,'Material editor'!$G$8,0)),VLOOKUP(LEFT(D443,3),'Material editor'!$D$11:$H$110,'Material editor'!$G$8,0),"")</f>
        <v/>
      </c>
      <c r="J443" s="137" t="str">
        <f>IF(ISNUMBER(VLOOKUP(LEFT(D443,3),'Material editor'!$D$11:$H$110,'Material editor'!$H$8,0)),VLOOKUP(LEFT(D443,3),'Material editor'!$D$11:$H$110,'Material editor'!$H$8,0),"")</f>
        <v/>
      </c>
      <c r="K443" s="418"/>
      <c r="L443" s="407"/>
      <c r="M443" s="94"/>
      <c r="N443" s="136" t="str">
        <f>IF(ISNUMBER(VLOOKUP(LEFT(K443,3),'Material editor'!$D$11:$H$110,'Material editor'!$E$8,0)),VLOOKUP(LEFT(K443,3),'Material editor'!$D$11:$H$110,'Material editor'!$E$8,0),"")</f>
        <v/>
      </c>
      <c r="O443" s="137" t="str">
        <f>IF(ISNUMBER(VLOOKUP(LEFT(K443,3),'Material editor'!$D$11:$H$110,'Material editor'!$F$8,0)),VLOOKUP(LEFT(K443,3),'Material editor'!$D$11:$H$110,'Material editor'!$F$8,0),"")</f>
        <v/>
      </c>
      <c r="P443" s="137" t="str">
        <f>IF(ISNUMBER(VLOOKUP(LEFT(K443,3),'Material editor'!$D$11:$H$110,'Material editor'!$G$8,0)),VLOOKUP(LEFT(K443,3),'Material editor'!$D$11:$H$110,'Material editor'!$G$8,0),"")</f>
        <v/>
      </c>
      <c r="Q443" s="137" t="str">
        <f>IF(ISNUMBER(VLOOKUP(LEFT(K443,3),'Material editor'!$D$11:$H$110,'Material editor'!$H$8,0)),VLOOKUP(LEFT(K443,3),'Material editor'!$D$11:$H$110,'Material editor'!$H$8,0),"")</f>
        <v/>
      </c>
      <c r="R443" s="418"/>
      <c r="S443" s="407"/>
      <c r="T443" s="94"/>
      <c r="U443" s="136" t="str">
        <f>IF(ISNUMBER(VLOOKUP(LEFT(R443,3),'Material editor'!$D$11:$H$110,'Material editor'!$E$8,0)),VLOOKUP(LEFT(R443,3),'Material editor'!$D$11:$H$110,'Material editor'!$E$8,0),"")</f>
        <v/>
      </c>
      <c r="V443" s="137" t="str">
        <f>IF(ISNUMBER(VLOOKUP(LEFT(R443,3),'Material editor'!$D$11:$H$110,'Material editor'!$F$8,0)),VLOOKUP(LEFT(R443,3),'Material editor'!$D$11:$H$110,'Material editor'!$F$8,0),"")</f>
        <v/>
      </c>
      <c r="W443" s="137" t="str">
        <f>IF(ISNUMBER(VLOOKUP(LEFT(R443,3),'Material editor'!$D$11:$H$110,'Material editor'!$G$8,0)),VLOOKUP(LEFT(R443,3),'Material editor'!$D$11:$H$110,'Material editor'!$G$8,0),"")</f>
        <v/>
      </c>
      <c r="X443" s="137" t="str">
        <f>IF(ISNUMBER(VLOOKUP(LEFT(R443,3),'Material editor'!$D$11:$H$110,'Material editor'!$H$8,0)),VLOOKUP(LEFT(R443,3),'Material editor'!$D$11:$H$110,'Material editor'!$H$8,0),"")</f>
        <v/>
      </c>
      <c r="Y443" s="74"/>
      <c r="Z443" s="94"/>
      <c r="AA443" s="8"/>
      <c r="AB443" s="61"/>
      <c r="AC443" s="65"/>
      <c r="AD443" s="65"/>
      <c r="AE443" s="95">
        <f t="shared" si="314"/>
        <v>0</v>
      </c>
      <c r="AF443" s="95">
        <f t="shared" si="315"/>
        <v>0</v>
      </c>
      <c r="AG443" s="95">
        <f t="shared" si="316"/>
        <v>0</v>
      </c>
      <c r="AH443" s="65"/>
      <c r="AI443" s="95">
        <f t="shared" si="317"/>
        <v>0</v>
      </c>
      <c r="AJ443" s="95">
        <f t="shared" si="318"/>
        <v>0</v>
      </c>
      <c r="AK443" s="95">
        <f t="shared" si="319"/>
        <v>0</v>
      </c>
      <c r="AL443" s="65"/>
      <c r="AM443" s="96">
        <f t="shared" ref="AM443:AO443" si="328">AM442</f>
        <v>1</v>
      </c>
      <c r="AN443" s="96">
        <f t="shared" si="328"/>
        <v>0</v>
      </c>
      <c r="AO443" s="96">
        <f t="shared" si="328"/>
        <v>0</v>
      </c>
      <c r="AP443" s="65">
        <f t="shared" si="320"/>
        <v>0</v>
      </c>
      <c r="AQ443" s="65"/>
      <c r="AR443" s="65"/>
      <c r="AS443" s="66"/>
      <c r="AT443" s="95">
        <f>IF(ISNUMBER(H443),H443*F443*Z443/1000*Balance!$H$13/J443,0)</f>
        <v>0</v>
      </c>
      <c r="AU443" s="95">
        <f>IF(ISTEXT(K443),IF(ISNUMBER(O443),O443*M443*Z443/1000*Balance!$H$13/Q443,0),AT443)</f>
        <v>0</v>
      </c>
      <c r="AV443" s="95">
        <f>IF(ISTEXT(R443),IF(ISNUMBER(V443),V443*T443*Z443/1000*Balance!$H$13/X443,0),AT443)</f>
        <v>0</v>
      </c>
      <c r="AW443" s="66"/>
      <c r="AX443" s="95">
        <f>AT443*AX435</f>
        <v>0</v>
      </c>
      <c r="AY443" s="95">
        <f>AU443*AY435</f>
        <v>0</v>
      </c>
      <c r="AZ443" s="95">
        <f>AV443*AZ435</f>
        <v>0</v>
      </c>
      <c r="BA443" s="95">
        <f t="shared" si="322"/>
        <v>0</v>
      </c>
      <c r="BB443" s="66"/>
      <c r="BC443" s="95">
        <f>IF(ISNUMBER(I443),I443*F443*Z443/1000*Balance!$H$13/J443,0)</f>
        <v>0</v>
      </c>
      <c r="BD443" s="95">
        <f>IF(ISTEXT(K443),IF(ISNUMBER(P443),P443*M443*Z443/1000*Balance!$H$13/Q443,0),BC443)</f>
        <v>0</v>
      </c>
      <c r="BE443" s="95">
        <f>IF(ISTEXT(R443),IF(ISNUMBER(W443),W443*T443*Z443/1000*Balance!$H$13/X443,0),BC443)</f>
        <v>0</v>
      </c>
      <c r="BF443" s="66"/>
      <c r="BG443" s="95">
        <f>BC443*BG435</f>
        <v>0</v>
      </c>
      <c r="BH443" s="95">
        <f>BD443*BH435</f>
        <v>0</v>
      </c>
      <c r="BI443" s="95">
        <f>BE443*BI435</f>
        <v>0</v>
      </c>
      <c r="BJ443" s="95">
        <f t="shared" si="323"/>
        <v>0</v>
      </c>
      <c r="BK443" s="66"/>
      <c r="BL443" s="66"/>
      <c r="BM443" s="66"/>
    </row>
    <row r="444" spans="2:65" outlineLevel="1" x14ac:dyDescent="0.25">
      <c r="B444" s="201"/>
      <c r="C444" s="91"/>
      <c r="D444" s="418"/>
      <c r="E444" s="407"/>
      <c r="F444" s="94"/>
      <c r="G444" s="136" t="str">
        <f>IF(ISNUMBER(VLOOKUP(LEFT(D444,3),'Material editor'!$D$11:$H$110,'Material editor'!$E$8,0)),VLOOKUP(LEFT(D444,3),'Material editor'!$D$11:$H$110,'Material editor'!$E$8,0),"")</f>
        <v/>
      </c>
      <c r="H444" s="137" t="str">
        <f>IF(ISNUMBER(VLOOKUP(LEFT(D444,3),'Material editor'!$D$11:$H$110,'Material editor'!$F$8,0)),VLOOKUP(LEFT(D444,3),'Material editor'!$D$11:$H$110,'Material editor'!$F$8,0),"")</f>
        <v/>
      </c>
      <c r="I444" s="137" t="str">
        <f>IF(ISNUMBER(VLOOKUP(LEFT(D444,3),'Material editor'!$D$11:$H$110,'Material editor'!$G$8,0)),VLOOKUP(LEFT(D444,3),'Material editor'!$D$11:$H$110,'Material editor'!$G$8,0),"")</f>
        <v/>
      </c>
      <c r="J444" s="137" t="str">
        <f>IF(ISNUMBER(VLOOKUP(LEFT(D444,3),'Material editor'!$D$11:$H$110,'Material editor'!$H$8,0)),VLOOKUP(LEFT(D444,3),'Material editor'!$D$11:$H$110,'Material editor'!$H$8,0),"")</f>
        <v/>
      </c>
      <c r="K444" s="418"/>
      <c r="L444" s="407"/>
      <c r="M444" s="94"/>
      <c r="N444" s="136" t="str">
        <f>IF(ISNUMBER(VLOOKUP(LEFT(K444,3),'Material editor'!$D$11:$H$110,'Material editor'!$E$8,0)),VLOOKUP(LEFT(K444,3),'Material editor'!$D$11:$H$110,'Material editor'!$E$8,0),"")</f>
        <v/>
      </c>
      <c r="O444" s="137" t="str">
        <f>IF(ISNUMBER(VLOOKUP(LEFT(K444,3),'Material editor'!$D$11:$H$110,'Material editor'!$F$8,0)),VLOOKUP(LEFT(K444,3),'Material editor'!$D$11:$H$110,'Material editor'!$F$8,0),"")</f>
        <v/>
      </c>
      <c r="P444" s="137" t="str">
        <f>IF(ISNUMBER(VLOOKUP(LEFT(K444,3),'Material editor'!$D$11:$H$110,'Material editor'!$G$8,0)),VLOOKUP(LEFT(K444,3),'Material editor'!$D$11:$H$110,'Material editor'!$G$8,0),"")</f>
        <v/>
      </c>
      <c r="Q444" s="137" t="str">
        <f>IF(ISNUMBER(VLOOKUP(LEFT(K444,3),'Material editor'!$D$11:$H$110,'Material editor'!$H$8,0)),VLOOKUP(LEFT(K444,3),'Material editor'!$D$11:$H$110,'Material editor'!$H$8,0),"")</f>
        <v/>
      </c>
      <c r="R444" s="418"/>
      <c r="S444" s="407"/>
      <c r="T444" s="94"/>
      <c r="U444" s="136" t="str">
        <f>IF(ISNUMBER(VLOOKUP(LEFT(R444,3),'Material editor'!$D$11:$H$110,'Material editor'!$E$8,0)),VLOOKUP(LEFT(R444,3),'Material editor'!$D$11:$H$110,'Material editor'!$E$8,0),"")</f>
        <v/>
      </c>
      <c r="V444" s="137" t="str">
        <f>IF(ISNUMBER(VLOOKUP(LEFT(R444,3),'Material editor'!$D$11:$H$110,'Material editor'!$F$8,0)),VLOOKUP(LEFT(R444,3),'Material editor'!$D$11:$H$110,'Material editor'!$F$8,0),"")</f>
        <v/>
      </c>
      <c r="W444" s="137" t="str">
        <f>IF(ISNUMBER(VLOOKUP(LEFT(R444,3),'Material editor'!$D$11:$H$110,'Material editor'!$G$8,0)),VLOOKUP(LEFT(R444,3),'Material editor'!$D$11:$H$110,'Material editor'!$G$8,0),"")</f>
        <v/>
      </c>
      <c r="X444" s="137" t="str">
        <f>IF(ISNUMBER(VLOOKUP(LEFT(R444,3),'Material editor'!$D$11:$H$110,'Material editor'!$H$8,0)),VLOOKUP(LEFT(R444,3),'Material editor'!$D$11:$H$110,'Material editor'!$H$8,0),"")</f>
        <v/>
      </c>
      <c r="Y444" s="74"/>
      <c r="Z444" s="94"/>
      <c r="AA444" s="8"/>
      <c r="AB444" s="61"/>
      <c r="AC444" s="65"/>
      <c r="AD444" s="65"/>
      <c r="AE444" s="95">
        <f t="shared" si="314"/>
        <v>0</v>
      </c>
      <c r="AF444" s="95">
        <f t="shared" si="315"/>
        <v>0</v>
      </c>
      <c r="AG444" s="95">
        <f t="shared" si="316"/>
        <v>0</v>
      </c>
      <c r="AH444" s="65"/>
      <c r="AI444" s="95">
        <f>IF(ISNUMBER(G444),G444,0)</f>
        <v>0</v>
      </c>
      <c r="AJ444" s="95">
        <f t="shared" si="318"/>
        <v>0</v>
      </c>
      <c r="AK444" s="95">
        <f t="shared" si="319"/>
        <v>0</v>
      </c>
      <c r="AL444" s="65"/>
      <c r="AM444" s="96">
        <f t="shared" ref="AM444:AO444" si="329">AM443</f>
        <v>1</v>
      </c>
      <c r="AN444" s="96">
        <f t="shared" si="329"/>
        <v>0</v>
      </c>
      <c r="AO444" s="96">
        <f t="shared" si="329"/>
        <v>0</v>
      </c>
      <c r="AP444" s="65">
        <f t="shared" si="320"/>
        <v>0</v>
      </c>
      <c r="AQ444" s="65"/>
      <c r="AR444" s="65"/>
      <c r="AS444" s="66"/>
      <c r="AT444" s="95">
        <f>IF(ISNUMBER(H444),H444*F444*Z444/1000*Balance!$H$13/J444,0)</f>
        <v>0</v>
      </c>
      <c r="AU444" s="95">
        <f>IF(ISTEXT(K444),IF(ISNUMBER(O444),O444*M444*Z444/1000*Balance!$H$13/Q444,0),AT444)</f>
        <v>0</v>
      </c>
      <c r="AV444" s="95">
        <f>IF(ISTEXT(R444),IF(ISNUMBER(V444),V444*T444*Z444/1000*Balance!$H$13/X444,0),AT444)</f>
        <v>0</v>
      </c>
      <c r="AW444" s="66"/>
      <c r="AX444" s="95">
        <f>AT444*AX435</f>
        <v>0</v>
      </c>
      <c r="AY444" s="95">
        <f>AU444*AY435</f>
        <v>0</v>
      </c>
      <c r="AZ444" s="95">
        <f>AV444*AZ435</f>
        <v>0</v>
      </c>
      <c r="BA444" s="95">
        <f t="shared" si="322"/>
        <v>0</v>
      </c>
      <c r="BB444" s="66"/>
      <c r="BC444" s="95">
        <f>IF(ISNUMBER(I444),I444*F444*Z444/1000*Balance!$H$13/J444,0)</f>
        <v>0</v>
      </c>
      <c r="BD444" s="95">
        <f>IF(ISTEXT(K444),IF(ISNUMBER(P444),P444*M444*Z444/1000*Balance!$H$13/Q444,0),BC444)</f>
        <v>0</v>
      </c>
      <c r="BE444" s="95">
        <f>IF(ISTEXT(R444),IF(ISNUMBER(W444),W444*T444*Z444/1000*Balance!$H$13/X444,0),BC444)</f>
        <v>0</v>
      </c>
      <c r="BF444" s="66"/>
      <c r="BG444" s="95">
        <f>BC444*BG435</f>
        <v>0</v>
      </c>
      <c r="BH444" s="95">
        <f>BD444*BH435</f>
        <v>0</v>
      </c>
      <c r="BI444" s="95">
        <f>BE444*BI435</f>
        <v>0</v>
      </c>
      <c r="BJ444" s="95">
        <f t="shared" si="323"/>
        <v>0</v>
      </c>
      <c r="BK444" s="66"/>
      <c r="BL444" s="66"/>
      <c r="BM444" s="66"/>
    </row>
    <row r="445" spans="2:65" outlineLevel="1" x14ac:dyDescent="0.25">
      <c r="B445" s="201"/>
      <c r="C445" s="77"/>
      <c r="D445" s="125">
        <f>MAX(0,1-K445-R445)</f>
        <v>1</v>
      </c>
      <c r="E445" s="126" t="s">
        <v>141</v>
      </c>
      <c r="F445" s="126"/>
      <c r="H445" s="97"/>
      <c r="I445" s="97"/>
      <c r="J445" s="97"/>
      <c r="K445" s="100"/>
      <c r="L445" s="126" t="s">
        <v>138</v>
      </c>
      <c r="M445" s="126"/>
      <c r="R445" s="100"/>
      <c r="S445" s="126" t="s">
        <v>139</v>
      </c>
      <c r="T445" s="126"/>
      <c r="V445" s="67"/>
      <c r="Y445" s="74"/>
      <c r="Z445" s="5" t="s">
        <v>140</v>
      </c>
      <c r="AA445" s="8"/>
      <c r="AB445" s="61"/>
      <c r="AC445" s="98"/>
      <c r="AD445" s="98" t="s">
        <v>124</v>
      </c>
      <c r="AE445" s="99">
        <f>IF(ISNUMBER($G437),1/($D432+SUM(AE437:AE444)+$D433),0)</f>
        <v>5.8823529411764701</v>
      </c>
      <c r="AF445" s="99">
        <f>IF(ISNUMBER($G437),1/($D432+SUM(AF437:AF444)+$D433),0)</f>
        <v>5.8823529411764701</v>
      </c>
      <c r="AG445" s="99">
        <f>IF(ISNUMBER($G437),1/($D432+SUM(AG437:AG444)+$D433),0)</f>
        <v>5.8823529411764701</v>
      </c>
      <c r="AH445" s="65"/>
      <c r="AI445" s="65"/>
      <c r="AJ445" s="65"/>
      <c r="AK445" s="65"/>
      <c r="AL445" s="65"/>
      <c r="AM445" s="65"/>
      <c r="AN445" s="65"/>
      <c r="AO445" s="65"/>
      <c r="AP445" s="65"/>
      <c r="AQ445" s="65"/>
      <c r="AR445" s="65"/>
      <c r="AS445" s="66"/>
      <c r="AT445" s="66"/>
      <c r="AU445" s="66"/>
      <c r="AV445" s="66"/>
      <c r="AW445" s="66"/>
      <c r="AX445" s="66"/>
      <c r="AY445" s="66"/>
      <c r="AZ445" s="66"/>
      <c r="BA445" s="66"/>
      <c r="BB445" s="66"/>
      <c r="BC445" s="66"/>
      <c r="BD445" s="66"/>
      <c r="BE445" s="66"/>
      <c r="BF445" s="66"/>
      <c r="BG445" s="66"/>
      <c r="BH445" s="66"/>
      <c r="BI445" s="66"/>
      <c r="BJ445" s="66"/>
      <c r="BK445" s="66"/>
      <c r="BL445" s="66"/>
      <c r="BM445" s="66"/>
    </row>
    <row r="446" spans="2:65" outlineLevel="1" x14ac:dyDescent="0.25">
      <c r="B446" s="201"/>
      <c r="C446" s="77"/>
      <c r="D446" s="41"/>
      <c r="E446" s="116" t="s">
        <v>150</v>
      </c>
      <c r="F446" s="116"/>
      <c r="H446" s="68"/>
      <c r="I446" s="68"/>
      <c r="J446" s="68"/>
      <c r="K446" s="157" t="str">
        <f>IF(AE452&lt;=0.1,"","Der Fehler der U-Wert-Berechnung liegt möglicherweise über 10 %. Wärmebrückenberechnung?")</f>
        <v/>
      </c>
      <c r="L446" s="68"/>
      <c r="M446" s="68"/>
      <c r="N446" s="68"/>
      <c r="R446" s="5"/>
      <c r="S446" s="5"/>
      <c r="T446" s="5"/>
      <c r="U446" s="68"/>
      <c r="V446" s="68"/>
      <c r="X446" s="68"/>
      <c r="Y446" s="5"/>
      <c r="Z446" s="189" t="str">
        <f>IF(ISNUMBER(Z437),SUM(Z437:Z445)/10,"")</f>
        <v/>
      </c>
      <c r="AA446" s="10" t="s">
        <v>8</v>
      </c>
      <c r="AB446" s="61"/>
      <c r="AC446" s="98"/>
      <c r="AD446" s="98" t="s">
        <v>125</v>
      </c>
      <c r="AE446" s="101">
        <f>1-SUM(AF446:AG446)</f>
        <v>1</v>
      </c>
      <c r="AF446" s="102">
        <f>K445</f>
        <v>0</v>
      </c>
      <c r="AG446" s="102">
        <f>R445</f>
        <v>0</v>
      </c>
      <c r="AH446" s="98"/>
      <c r="AI446" s="65"/>
      <c r="AJ446" s="65"/>
      <c r="AK446" s="65"/>
      <c r="AL446" s="65"/>
      <c r="AM446" s="65"/>
      <c r="AN446" s="65"/>
      <c r="AO446" s="65"/>
      <c r="AP446" s="65"/>
      <c r="AQ446" s="65"/>
      <c r="AR446" s="65" t="s">
        <v>393</v>
      </c>
      <c r="AS446" s="148"/>
      <c r="AT446" s="175" t="s">
        <v>393</v>
      </c>
      <c r="AU446" s="65" t="s">
        <v>366</v>
      </c>
      <c r="AV446" s="65" t="s">
        <v>355</v>
      </c>
      <c r="AW446" s="66"/>
      <c r="AX446" s="65" t="s">
        <v>394</v>
      </c>
      <c r="AY446" s="65" t="s">
        <v>356</v>
      </c>
      <c r="AZ446" s="66"/>
      <c r="BA446" s="66"/>
      <c r="BB446" s="66"/>
      <c r="BC446" s="66"/>
      <c r="BD446" s="66"/>
      <c r="BE446" s="66"/>
      <c r="BF446" s="66"/>
      <c r="BG446" s="66"/>
      <c r="BH446" s="66"/>
      <c r="BI446" s="66"/>
      <c r="BJ446" s="66"/>
      <c r="BK446" s="66"/>
      <c r="BL446" s="66"/>
      <c r="BM446" s="66"/>
    </row>
    <row r="447" spans="2:65" outlineLevel="1" x14ac:dyDescent="0.25">
      <c r="B447" s="201"/>
      <c r="C447" s="77"/>
      <c r="D447" s="68"/>
      <c r="E447" s="68"/>
      <c r="F447" s="68"/>
      <c r="G447" s="68"/>
      <c r="H447" s="68"/>
      <c r="I447" s="68"/>
      <c r="J447" s="68"/>
      <c r="K447" s="68"/>
      <c r="L447" s="68"/>
      <c r="M447" s="68"/>
      <c r="N447" s="68"/>
      <c r="O447" s="68"/>
      <c r="P447" s="68"/>
      <c r="Q447" s="68"/>
      <c r="R447" s="68"/>
      <c r="T447" s="68"/>
      <c r="U447" s="68"/>
      <c r="V447" s="68"/>
      <c r="W447" s="68"/>
      <c r="X447" s="68"/>
      <c r="Y447" s="5"/>
      <c r="Z447" s="67"/>
      <c r="AA447" s="8"/>
      <c r="AB447" s="61"/>
      <c r="AC447" s="101"/>
      <c r="AD447" s="101"/>
      <c r="AE447" s="99"/>
      <c r="AF447" s="99"/>
      <c r="AG447" s="99"/>
      <c r="AH447" s="65"/>
      <c r="AI447" s="65"/>
      <c r="AJ447" s="65"/>
      <c r="AK447" s="65"/>
      <c r="AL447" s="65"/>
      <c r="AM447" s="65"/>
      <c r="AN447" s="65"/>
      <c r="AO447" s="65"/>
      <c r="AP447" s="65"/>
      <c r="AQ447" s="65"/>
      <c r="AR447" s="65"/>
      <c r="AS447" s="65"/>
      <c r="AT447" s="101" t="s">
        <v>367</v>
      </c>
      <c r="AU447" s="176">
        <f>Z448*F432*Balance!$H$6</f>
        <v>464.70588235294116</v>
      </c>
      <c r="AV447" s="176">
        <f>AU447*Balance!$H$13</f>
        <v>9294.1176470588234</v>
      </c>
      <c r="AW447" s="66"/>
      <c r="AX447" s="66"/>
      <c r="AY447" s="66"/>
      <c r="AZ447" s="66"/>
      <c r="BA447" s="101" t="s">
        <v>351</v>
      </c>
      <c r="BB447" s="66"/>
      <c r="BC447" s="66"/>
      <c r="BD447" s="66"/>
      <c r="BE447" s="66"/>
      <c r="BF447" s="66"/>
      <c r="BG447" s="66"/>
      <c r="BH447" s="66"/>
      <c r="BI447" s="66"/>
      <c r="BJ447" s="66"/>
      <c r="BK447" s="66"/>
      <c r="BL447" s="66"/>
      <c r="BM447" s="66"/>
    </row>
    <row r="448" spans="2:65" ht="18" outlineLevel="1" x14ac:dyDescent="0.35">
      <c r="B448" s="201"/>
      <c r="C448" s="77"/>
      <c r="H448" s="68"/>
      <c r="I448" s="68"/>
      <c r="J448" s="67"/>
      <c r="K448" s="192" t="s">
        <v>397</v>
      </c>
      <c r="L448" s="67"/>
      <c r="M448" s="67"/>
      <c r="N448" s="67"/>
      <c r="O448" s="67"/>
      <c r="P448" s="67"/>
      <c r="Q448" s="67"/>
      <c r="R448" s="14" t="s">
        <v>398</v>
      </c>
      <c r="U448" s="68"/>
      <c r="V448" s="68"/>
      <c r="W448" s="68"/>
      <c r="X448" s="68"/>
      <c r="Y448" s="127" t="s">
        <v>154</v>
      </c>
      <c r="Z448" s="193">
        <f>IF(ISNUMBER(G437),IF(AE452&lt;0.1,1/AE448,1/(AP448*1.1))+D446,"")</f>
        <v>5.8823529411764701</v>
      </c>
      <c r="AA448" s="8" t="s">
        <v>10</v>
      </c>
      <c r="AB448" s="61"/>
      <c r="AC448" s="101"/>
      <c r="AD448" s="101" t="s">
        <v>126</v>
      </c>
      <c r="AE448" s="95">
        <f>IF(ISNUMBER(G437),AVERAGE(AG448,AP448),0)</f>
        <v>0.17</v>
      </c>
      <c r="AF448" s="101" t="s">
        <v>127</v>
      </c>
      <c r="AG448" s="95">
        <f>IF(ISNUMBER(G437),1/SUMPRODUCT(AE446:AG446,AE445:AG445),0)</f>
        <v>0.17</v>
      </c>
      <c r="AH448" s="65"/>
      <c r="AI448" s="65"/>
      <c r="AJ448" s="65"/>
      <c r="AK448" s="65"/>
      <c r="AL448" s="103"/>
      <c r="AM448" s="65"/>
      <c r="AN448" s="65"/>
      <c r="AO448" s="101" t="s">
        <v>128</v>
      </c>
      <c r="AP448" s="95">
        <f>$D432+SUM(AP437:AP444)+$D433</f>
        <v>0.17</v>
      </c>
      <c r="AQ448" s="65"/>
      <c r="AR448" s="65"/>
      <c r="AS448" s="152" t="str">
        <f>Data!$D$4</f>
        <v>Heat pump</v>
      </c>
      <c r="AT448" s="177" t="s">
        <v>374</v>
      </c>
      <c r="AU448" s="179">
        <f>AU447/(Balance!$H$17*Balance!$H$18*Balance!$H$19)*Balance!$H$22</f>
        <v>309.80392156862746</v>
      </c>
      <c r="AV448" s="176">
        <f>AU448*Balance!$H$13</f>
        <v>6196.0784313725489</v>
      </c>
      <c r="AW448" s="66"/>
      <c r="AX448" s="186">
        <f ca="1">AU447/(Balance!$H$17*Balance!$H$18*Balance!$H$19)*Balance!$G$22/1000</f>
        <v>58.518518518518519</v>
      </c>
      <c r="AY448" s="176">
        <f ca="1">AX448*Balance!$H$13</f>
        <v>1170.3703703703704</v>
      </c>
      <c r="AZ448" s="101"/>
      <c r="BA448" s="95">
        <f>SUM(BA437:BA444)</f>
        <v>0</v>
      </c>
      <c r="BB448" s="66" t="s">
        <v>355</v>
      </c>
      <c r="BC448" s="66"/>
      <c r="BD448" s="66"/>
      <c r="BE448" s="66"/>
      <c r="BF448" s="66"/>
      <c r="BG448" s="66"/>
      <c r="BH448" s="66"/>
      <c r="BI448" s="101" t="s">
        <v>149</v>
      </c>
      <c r="BJ448" s="95">
        <f>SUM(BJ437:BJ444)</f>
        <v>0</v>
      </c>
      <c r="BK448" s="66" t="s">
        <v>357</v>
      </c>
      <c r="BL448" s="66"/>
      <c r="BM448" s="66"/>
    </row>
    <row r="449" spans="2:65" ht="15.75" outlineLevel="1" x14ac:dyDescent="0.25">
      <c r="B449" s="201"/>
      <c r="C449" s="77"/>
      <c r="D449" s="155"/>
      <c r="E449" s="188" t="s">
        <v>395</v>
      </c>
      <c r="F449" s="116"/>
      <c r="H449" s="68"/>
      <c r="I449" s="68"/>
      <c r="J449" s="67"/>
      <c r="K449" s="190">
        <f>BA448</f>
        <v>0</v>
      </c>
      <c r="L449" s="128" t="s">
        <v>400</v>
      </c>
      <c r="M449" s="67"/>
      <c r="N449" s="67"/>
      <c r="O449" s="67"/>
      <c r="P449" s="67"/>
      <c r="Q449" s="67"/>
      <c r="R449" s="190">
        <f>BJ448</f>
        <v>0</v>
      </c>
      <c r="S449" s="128" t="s">
        <v>399</v>
      </c>
      <c r="U449" s="68"/>
      <c r="V449" s="68"/>
      <c r="W449" s="68"/>
      <c r="X449" s="68"/>
      <c r="Y449" s="67"/>
      <c r="Z449" s="67"/>
      <c r="AA449" s="8"/>
      <c r="AB449" s="61"/>
      <c r="AC449" s="101"/>
      <c r="AD449" s="101"/>
      <c r="AE449" s="154"/>
      <c r="AF449" s="101"/>
      <c r="AG449" s="154"/>
      <c r="AH449" s="65"/>
      <c r="AI449" s="65"/>
      <c r="AJ449" s="65"/>
      <c r="AK449" s="65"/>
      <c r="AL449" s="103"/>
      <c r="AM449" s="65"/>
      <c r="AN449" s="65"/>
      <c r="AO449" s="101"/>
      <c r="AP449" s="154"/>
      <c r="AQ449" s="65"/>
      <c r="AR449" s="65"/>
      <c r="AS449" s="152" t="str">
        <f>Data!$D$5</f>
        <v>Direct electric</v>
      </c>
      <c r="AT449" s="177" t="s">
        <v>374</v>
      </c>
      <c r="AU449" s="179">
        <f>AU447/Balance!$H$18*Balance!$H$22</f>
        <v>836.47058823529414</v>
      </c>
      <c r="AV449" s="176">
        <f>AU449*Balance!$H$13</f>
        <v>16729.411764705881</v>
      </c>
      <c r="AW449" s="66"/>
      <c r="AX449" s="186">
        <f ca="1">AU447/Balance!$H$18*Balance!$G$22/1000</f>
        <v>158</v>
      </c>
      <c r="AY449" s="176">
        <f ca="1">AX449*Balance!$H$13</f>
        <v>3160</v>
      </c>
      <c r="AZ449" s="101"/>
      <c r="BA449" s="154"/>
      <c r="BB449" s="66"/>
      <c r="BC449" s="66"/>
      <c r="BD449" s="66"/>
      <c r="BE449" s="66"/>
      <c r="BF449" s="66"/>
      <c r="BG449" s="66"/>
      <c r="BH449" s="66"/>
      <c r="BI449" s="101"/>
      <c r="BJ449" s="154"/>
      <c r="BK449" s="66"/>
      <c r="BL449" s="66"/>
      <c r="BM449" s="66"/>
    </row>
    <row r="450" spans="2:65" ht="15.75" outlineLevel="1" x14ac:dyDescent="0.25">
      <c r="B450" s="201"/>
      <c r="C450" s="77"/>
      <c r="D450" s="155"/>
      <c r="E450" s="188" t="s">
        <v>396</v>
      </c>
      <c r="F450" s="116"/>
      <c r="H450" s="68"/>
      <c r="I450" s="68"/>
      <c r="J450" s="67"/>
      <c r="K450" s="190">
        <f>AV452</f>
        <v>6196.0784313725489</v>
      </c>
      <c r="L450" s="128" t="s">
        <v>401</v>
      </c>
      <c r="M450" s="67"/>
      <c r="N450" s="67"/>
      <c r="O450" s="67"/>
      <c r="P450" s="67"/>
      <c r="Q450" s="67"/>
      <c r="R450" s="190">
        <f ca="1">AY452</f>
        <v>1170.3703703703704</v>
      </c>
      <c r="S450" s="128" t="s">
        <v>358</v>
      </c>
      <c r="U450" s="68"/>
      <c r="V450" s="68"/>
      <c r="W450" s="68"/>
      <c r="X450" s="68"/>
      <c r="Y450" s="67"/>
      <c r="Z450" s="67"/>
      <c r="AA450" s="8"/>
      <c r="AB450" s="61"/>
      <c r="AC450" s="101"/>
      <c r="AD450" s="101"/>
      <c r="AE450" s="154"/>
      <c r="AF450" s="101"/>
      <c r="AG450" s="154"/>
      <c r="AH450" s="65"/>
      <c r="AI450" s="65"/>
      <c r="AJ450" s="65"/>
      <c r="AK450" s="65"/>
      <c r="AL450" s="103"/>
      <c r="AM450" s="65"/>
      <c r="AN450" s="65"/>
      <c r="AO450" s="101"/>
      <c r="AP450" s="154"/>
      <c r="AQ450" s="65"/>
      <c r="AR450" s="65"/>
      <c r="AS450" s="152" t="str">
        <f>Data!$D$6</f>
        <v>Gas boiler</v>
      </c>
      <c r="AT450" s="177" t="s">
        <v>374</v>
      </c>
      <c r="AU450" s="179">
        <f>AU447/(Balance!$H$18*Balance!$H$19)*Balance!H$23</f>
        <v>903.59477124183002</v>
      </c>
      <c r="AV450" s="176">
        <f>AU450*Balance!$H$13</f>
        <v>18071.895424836599</v>
      </c>
      <c r="AW450" s="66"/>
      <c r="AX450" s="186">
        <f ca="1">AU447/(Balance!$H$18*Balance!$H$19)*Balance!$G$23/1000</f>
        <v>128.77762215997504</v>
      </c>
      <c r="AY450" s="176">
        <f ca="1">AX450*Balance!$H$13</f>
        <v>2575.5524431995009</v>
      </c>
      <c r="AZ450" s="101"/>
      <c r="BA450" s="154"/>
      <c r="BB450" s="66"/>
      <c r="BC450" s="66"/>
      <c r="BD450" s="66"/>
      <c r="BE450" s="66"/>
      <c r="BF450" s="66"/>
      <c r="BG450" s="66"/>
      <c r="BH450" s="66"/>
      <c r="BI450" s="101"/>
      <c r="BJ450" s="154"/>
      <c r="BK450" s="66"/>
      <c r="BL450" s="66"/>
      <c r="BM450" s="66"/>
    </row>
    <row r="451" spans="2:65" ht="15.75" outlineLevel="1" x14ac:dyDescent="0.25">
      <c r="B451" s="201"/>
      <c r="C451" s="77"/>
      <c r="D451" s="155"/>
      <c r="E451" s="188" t="s">
        <v>352</v>
      </c>
      <c r="F451" s="116"/>
      <c r="H451" s="68"/>
      <c r="I451" s="68"/>
      <c r="J451" s="67"/>
      <c r="K451" s="191">
        <f>K450+K449</f>
        <v>6196.0784313725489</v>
      </c>
      <c r="L451" s="128" t="s">
        <v>355</v>
      </c>
      <c r="M451" s="67"/>
      <c r="N451" s="67"/>
      <c r="O451" s="67"/>
      <c r="P451" s="67"/>
      <c r="Q451" s="67"/>
      <c r="R451" s="191">
        <f ca="1">R450+R449</f>
        <v>1170.3703703703704</v>
      </c>
      <c r="S451" s="128" t="s">
        <v>358</v>
      </c>
      <c r="T451" s="153"/>
      <c r="U451" s="68"/>
      <c r="V451" s="68"/>
      <c r="W451" s="68"/>
      <c r="X451" s="68"/>
      <c r="Y451" s="67"/>
      <c r="Z451" s="67"/>
      <c r="AA451" s="8"/>
      <c r="AB451" s="61"/>
      <c r="AC451" s="101"/>
      <c r="AD451" s="101"/>
      <c r="AE451" s="154"/>
      <c r="AF451" s="101"/>
      <c r="AG451" s="154"/>
      <c r="AH451" s="65"/>
      <c r="AI451" s="65"/>
      <c r="AJ451" s="65"/>
      <c r="AK451" s="65"/>
      <c r="AL451" s="103"/>
      <c r="AM451" s="65"/>
      <c r="AN451" s="65"/>
      <c r="AO451" s="101"/>
      <c r="AP451" s="154"/>
      <c r="AQ451" s="65"/>
      <c r="AR451" s="65"/>
      <c r="AS451" s="152" t="str">
        <f>Data!$D$7</f>
        <v>Biomass</v>
      </c>
      <c r="AT451" s="177" t="s">
        <v>374</v>
      </c>
      <c r="AU451" s="179">
        <f>AU447/(Balance!$H$18*Balance!$H$19)*Balance!$H$24</f>
        <v>567.97385620915031</v>
      </c>
      <c r="AV451" s="176">
        <f>AU451*Balance!$H$13</f>
        <v>11359.477124183006</v>
      </c>
      <c r="AW451" s="66"/>
      <c r="AX451" s="186">
        <f ca="1">AU447/(Balance!$H$18*Balance!$H$19)*Balance!$G$24/1000</f>
        <v>10.972222222222221</v>
      </c>
      <c r="AY451" s="176">
        <f ca="1">AX451*Balance!$H$13</f>
        <v>219.44444444444443</v>
      </c>
      <c r="AZ451" s="101"/>
      <c r="BA451" s="154"/>
      <c r="BB451" s="66"/>
      <c r="BC451" s="66"/>
      <c r="BD451" s="66"/>
      <c r="BE451" s="66"/>
      <c r="BF451" s="66"/>
      <c r="BG451" s="66"/>
      <c r="BH451" s="66"/>
      <c r="BI451" s="101"/>
      <c r="BJ451" s="154"/>
      <c r="BK451" s="66"/>
      <c r="BL451" s="66"/>
      <c r="BM451" s="66"/>
    </row>
    <row r="452" spans="2:65" outlineLevel="1" x14ac:dyDescent="0.25">
      <c r="B452" s="201"/>
      <c r="C452" s="104"/>
      <c r="D452" s="105"/>
      <c r="E452" s="106"/>
      <c r="F452" s="106"/>
      <c r="G452" s="106"/>
      <c r="H452" s="107"/>
      <c r="I452" s="107"/>
      <c r="J452" s="107"/>
      <c r="K452" s="106"/>
      <c r="L452" s="106"/>
      <c r="M452" s="106"/>
      <c r="N452" s="106"/>
      <c r="O452" s="106"/>
      <c r="P452" s="106"/>
      <c r="Q452" s="106"/>
      <c r="R452" s="106"/>
      <c r="S452" s="106"/>
      <c r="T452" s="106"/>
      <c r="U452" s="106"/>
      <c r="V452" s="106"/>
      <c r="W452" s="106"/>
      <c r="X452" s="106"/>
      <c r="Y452" s="106"/>
      <c r="Z452" s="108"/>
      <c r="AA452" s="109"/>
      <c r="AB452" s="61"/>
      <c r="AC452" s="101"/>
      <c r="AD452" s="101" t="s">
        <v>129</v>
      </c>
      <c r="AE452" s="110">
        <f>IF(ISNUMBER(G437),(AG448-AP448)/(2*AE448),0)</f>
        <v>0</v>
      </c>
      <c r="AF452" s="111"/>
      <c r="AG452" s="65"/>
      <c r="AH452" s="101"/>
      <c r="AI452" s="65"/>
      <c r="AJ452" s="65"/>
      <c r="AK452" s="65"/>
      <c r="AL452" s="65"/>
      <c r="AM452" s="65"/>
      <c r="AN452" s="65"/>
      <c r="AO452" s="65"/>
      <c r="AP452" s="66"/>
      <c r="AQ452" s="65"/>
      <c r="AR452" s="65"/>
      <c r="AS452" s="178" t="str">
        <f>Balance!$G$16</f>
        <v>Heat pump</v>
      </c>
      <c r="AT452" s="66"/>
      <c r="AU452" s="185">
        <f>VLOOKUP(AS452,AS448:AU451,3,0)</f>
        <v>309.80392156862746</v>
      </c>
      <c r="AV452" s="185">
        <f>VLOOKUP(AS452,AS448:AV451,4,0)</f>
        <v>6196.0784313725489</v>
      </c>
      <c r="AW452" s="185"/>
      <c r="AX452" s="187">
        <f ca="1">VLOOKUP(AS452,AS448:AX451,6,0)</f>
        <v>58.518518518518519</v>
      </c>
      <c r="AY452" s="185">
        <f ca="1">VLOOKUP(AS452,AS448:AY451,7,0)</f>
        <v>1170.3703703703704</v>
      </c>
      <c r="AZ452" s="66"/>
      <c r="BA452" s="66"/>
      <c r="BB452" s="66"/>
      <c r="BC452" s="66"/>
      <c r="BD452" s="66"/>
      <c r="BE452" s="66"/>
      <c r="BF452" s="66"/>
      <c r="BG452" s="66"/>
      <c r="BH452" s="66"/>
      <c r="BI452" s="66"/>
      <c r="BJ452" s="66"/>
      <c r="BK452" s="66"/>
      <c r="BL452" s="66"/>
      <c r="BM452" s="66"/>
    </row>
    <row r="453" spans="2:65" outlineLevel="1" x14ac:dyDescent="0.25">
      <c r="B453" s="201"/>
    </row>
    <row r="454" spans="2:65" outlineLevel="1" x14ac:dyDescent="0.25">
      <c r="B454" s="201"/>
      <c r="C454" s="62"/>
      <c r="D454" s="114" t="s">
        <v>131</v>
      </c>
      <c r="E454" s="115" t="s">
        <v>132</v>
      </c>
      <c r="F454" s="115"/>
      <c r="G454" s="63"/>
      <c r="H454" s="63"/>
      <c r="I454" s="63"/>
      <c r="J454" s="63"/>
      <c r="K454" s="63"/>
      <c r="L454" s="63"/>
      <c r="M454" s="63"/>
      <c r="N454" s="63"/>
      <c r="O454" s="63"/>
      <c r="P454" s="63"/>
      <c r="Q454" s="63"/>
      <c r="R454" s="63"/>
      <c r="S454" s="63"/>
      <c r="T454" s="63"/>
      <c r="U454" s="63"/>
      <c r="V454" s="63"/>
      <c r="W454" s="63"/>
      <c r="X454" s="63"/>
      <c r="Y454" s="63"/>
      <c r="Z454" s="63"/>
      <c r="AA454" s="64"/>
      <c r="AB454" s="61"/>
      <c r="AC454" s="65" t="s">
        <v>402</v>
      </c>
      <c r="AD454" s="65"/>
      <c r="AE454" s="65"/>
      <c r="AF454" s="65"/>
      <c r="AG454" s="65"/>
      <c r="AH454" s="65"/>
      <c r="AI454" s="65"/>
      <c r="AJ454" s="65"/>
      <c r="AK454" s="65"/>
      <c r="AL454" s="65"/>
      <c r="AM454" s="65"/>
      <c r="AN454" s="65"/>
      <c r="AO454" s="65"/>
      <c r="AP454" s="65"/>
      <c r="AQ454" s="66"/>
      <c r="AR454" s="65" t="s">
        <v>405</v>
      </c>
      <c r="AS454" s="65"/>
      <c r="AT454" s="65"/>
      <c r="AU454" s="65"/>
      <c r="AV454" s="65"/>
      <c r="AW454" s="65"/>
      <c r="AX454" s="65"/>
      <c r="AY454" s="65"/>
      <c r="AZ454" s="65"/>
      <c r="BA454" s="65"/>
      <c r="BB454" s="65" t="s">
        <v>403</v>
      </c>
      <c r="BC454" s="65"/>
      <c r="BD454" s="65"/>
      <c r="BE454" s="65"/>
      <c r="BF454" s="65"/>
      <c r="BG454" s="65"/>
      <c r="BH454" s="65"/>
      <c r="BI454" s="65"/>
      <c r="BJ454" s="65"/>
      <c r="BK454" s="65"/>
      <c r="BL454" s="65"/>
      <c r="BM454" s="65"/>
    </row>
    <row r="455" spans="2:65" ht="15.75" x14ac:dyDescent="0.25">
      <c r="B455" s="201"/>
      <c r="C455" s="69"/>
      <c r="D455" s="70">
        <v>18</v>
      </c>
      <c r="E455" s="71" t="s">
        <v>413</v>
      </c>
      <c r="F455" s="92"/>
      <c r="G455" s="72"/>
      <c r="H455" s="72"/>
      <c r="I455" s="72"/>
      <c r="J455" s="72"/>
      <c r="K455" s="72"/>
      <c r="L455" s="72"/>
      <c r="M455" s="72"/>
      <c r="N455" s="72"/>
      <c r="O455" s="72"/>
      <c r="P455" s="72"/>
      <c r="Q455" s="72"/>
      <c r="R455" s="72"/>
      <c r="S455" s="72"/>
      <c r="T455" s="72"/>
      <c r="U455" s="72"/>
      <c r="V455" s="72"/>
      <c r="W455" s="72"/>
      <c r="X455" s="72"/>
      <c r="Y455" s="72"/>
      <c r="Z455" s="73"/>
      <c r="AA455" s="75"/>
      <c r="AB455" s="61"/>
      <c r="AC455" s="65"/>
      <c r="AD455" s="65"/>
      <c r="AE455" s="76" t="s">
        <v>114</v>
      </c>
      <c r="AF455" s="65"/>
      <c r="AG455" s="65"/>
      <c r="AH455" s="65"/>
      <c r="AI455" s="65"/>
      <c r="AJ455" s="65"/>
      <c r="AK455" s="65"/>
      <c r="AL455" s="65"/>
      <c r="AM455" s="65"/>
      <c r="AN455" s="65"/>
      <c r="AO455" s="65"/>
      <c r="AP455" s="66"/>
      <c r="AQ455" s="65"/>
      <c r="AR455" s="65" t="s">
        <v>404</v>
      </c>
      <c r="AS455" s="65"/>
      <c r="AT455" s="65"/>
      <c r="AU455" s="65"/>
      <c r="AV455" s="65"/>
      <c r="AW455" s="65"/>
      <c r="AX455" s="65"/>
      <c r="AY455" s="65"/>
      <c r="AZ455" s="65"/>
      <c r="BA455" s="65"/>
      <c r="BB455" s="65" t="s">
        <v>407</v>
      </c>
      <c r="BC455" s="65"/>
      <c r="BD455" s="65"/>
      <c r="BE455" s="65"/>
      <c r="BF455" s="65"/>
      <c r="BG455" s="65"/>
      <c r="BH455" s="65"/>
      <c r="BI455" s="65"/>
      <c r="BJ455" s="65"/>
      <c r="BK455" s="65"/>
      <c r="BL455" s="65"/>
      <c r="BM455" s="65"/>
    </row>
    <row r="456" spans="2:65" outlineLevel="1" x14ac:dyDescent="0.25">
      <c r="B456" s="201"/>
      <c r="C456" s="77"/>
      <c r="D456" s="116" t="s">
        <v>133</v>
      </c>
      <c r="E456" s="78"/>
      <c r="F456" s="78"/>
      <c r="AA456" s="75"/>
      <c r="AB456" s="61"/>
      <c r="AC456" s="65"/>
      <c r="AD456" s="65"/>
      <c r="AE456" s="65"/>
      <c r="AF456" s="65"/>
      <c r="AG456" s="65"/>
      <c r="AH456" s="65"/>
      <c r="AI456" s="65"/>
      <c r="AJ456" s="65"/>
      <c r="AK456" s="65"/>
      <c r="AL456" s="65"/>
      <c r="AM456" s="65"/>
      <c r="AN456" s="65"/>
      <c r="AO456" s="65"/>
      <c r="AP456" s="66"/>
      <c r="AQ456" s="65"/>
      <c r="AR456" s="65"/>
      <c r="AS456" s="65"/>
      <c r="AT456" s="65"/>
      <c r="AU456" s="65"/>
      <c r="AV456" s="65"/>
      <c r="AW456" s="65"/>
      <c r="AX456" s="65"/>
      <c r="AY456" s="65"/>
      <c r="AZ456" s="65"/>
      <c r="BA456" s="65"/>
      <c r="BB456" s="65"/>
      <c r="BC456" s="65"/>
      <c r="BD456" s="65"/>
      <c r="BE456" s="65"/>
      <c r="BF456" s="65"/>
      <c r="BG456" s="65"/>
      <c r="BH456" s="65"/>
      <c r="BI456" s="65"/>
      <c r="BJ456" s="65"/>
      <c r="BK456" s="65"/>
      <c r="BL456" s="65"/>
      <c r="BM456" s="65"/>
    </row>
    <row r="457" spans="2:65" outlineLevel="1" x14ac:dyDescent="0.25">
      <c r="B457" s="201"/>
      <c r="C457" s="77"/>
      <c r="D457" s="79">
        <v>0.13</v>
      </c>
      <c r="E457" s="2" t="s">
        <v>151</v>
      </c>
      <c r="F457" s="138">
        <v>1</v>
      </c>
      <c r="G457" s="61"/>
      <c r="H457" s="74"/>
      <c r="I457" s="74"/>
      <c r="J457" s="74"/>
      <c r="K457" s="2" t="s">
        <v>921</v>
      </c>
      <c r="L457" s="74"/>
      <c r="M457" s="74"/>
      <c r="N457" s="74"/>
      <c r="AA457" s="75"/>
      <c r="AB457" s="61"/>
      <c r="AC457" s="65"/>
      <c r="AD457" s="65"/>
      <c r="AE457" s="65" t="s">
        <v>115</v>
      </c>
      <c r="AF457" s="65"/>
      <c r="AG457" s="65"/>
      <c r="AH457" s="65"/>
      <c r="AI457" s="65" t="s">
        <v>116</v>
      </c>
      <c r="AJ457" s="65"/>
      <c r="AK457" s="65"/>
      <c r="AL457" s="65"/>
      <c r="AM457" s="65"/>
      <c r="AN457" s="65"/>
      <c r="AO457" s="65"/>
      <c r="AP457" s="66"/>
      <c r="AQ457" s="65"/>
      <c r="AR457" s="65"/>
      <c r="AS457" s="65"/>
      <c r="AT457" s="65"/>
      <c r="AU457" s="65"/>
      <c r="AV457" s="65"/>
      <c r="AW457" s="65"/>
      <c r="AX457" s="65"/>
      <c r="AY457" s="65"/>
      <c r="AZ457" s="65"/>
      <c r="BA457" s="65"/>
      <c r="BB457" s="65"/>
      <c r="BC457" s="65"/>
      <c r="BD457" s="65"/>
      <c r="BE457" s="65"/>
      <c r="BF457" s="65"/>
      <c r="BG457" s="65"/>
      <c r="BH457" s="65"/>
      <c r="BI457" s="65"/>
      <c r="BJ457" s="65"/>
      <c r="BK457" s="65"/>
      <c r="BL457" s="65"/>
      <c r="BM457" s="65"/>
    </row>
    <row r="458" spans="2:65" ht="15.75" outlineLevel="1" x14ac:dyDescent="0.25">
      <c r="B458" s="201"/>
      <c r="C458" s="77"/>
      <c r="D458" s="79">
        <v>0.04</v>
      </c>
      <c r="E458" s="2" t="s">
        <v>152</v>
      </c>
      <c r="F458" s="2"/>
      <c r="G458" s="61"/>
      <c r="H458" s="74"/>
      <c r="I458" s="74"/>
      <c r="J458" s="74"/>
      <c r="K458" s="74"/>
      <c r="L458" s="74"/>
      <c r="M458" s="74"/>
      <c r="N458" s="74"/>
      <c r="AA458" s="75"/>
      <c r="AB458" s="61"/>
      <c r="AC458" s="65"/>
      <c r="AD458" s="65"/>
      <c r="AE458" s="80" t="s">
        <v>117</v>
      </c>
      <c r="AF458" s="81"/>
      <c r="AG458" s="81"/>
      <c r="AH458" s="65"/>
      <c r="AI458" s="82" t="s">
        <v>118</v>
      </c>
      <c r="AJ458" s="81"/>
      <c r="AK458" s="81"/>
      <c r="AL458" s="65"/>
      <c r="AM458" s="83" t="s">
        <v>119</v>
      </c>
      <c r="AN458" s="84"/>
      <c r="AO458" s="85"/>
      <c r="AP458" s="65"/>
      <c r="AQ458" s="65"/>
      <c r="AR458" s="65"/>
      <c r="AS458" s="65"/>
      <c r="AT458" s="65"/>
      <c r="AU458" s="65"/>
      <c r="AV458" s="65"/>
      <c r="AW458" s="65"/>
      <c r="AX458" s="65"/>
      <c r="AY458" s="65"/>
      <c r="AZ458" s="65"/>
      <c r="BA458" s="65"/>
      <c r="BB458" s="65"/>
      <c r="BC458" s="65"/>
      <c r="BD458" s="65"/>
      <c r="BE458" s="65"/>
      <c r="BF458" s="65"/>
      <c r="BG458" s="65"/>
      <c r="BH458" s="65"/>
      <c r="BI458" s="65"/>
      <c r="BJ458" s="65"/>
      <c r="BK458" s="65"/>
      <c r="BL458" s="65"/>
      <c r="BM458" s="65"/>
    </row>
    <row r="459" spans="2:65" ht="15.75" outlineLevel="1" x14ac:dyDescent="0.25">
      <c r="B459" s="201"/>
      <c r="C459" s="77"/>
      <c r="D459" s="74"/>
      <c r="E459" s="61"/>
      <c r="F459" s="61"/>
      <c r="G459" s="61"/>
      <c r="H459" s="74"/>
      <c r="I459" s="74"/>
      <c r="J459" s="74"/>
      <c r="K459" s="74"/>
      <c r="L459" s="74"/>
      <c r="M459" s="74"/>
      <c r="N459" s="74"/>
      <c r="O459" s="1"/>
      <c r="P459" s="1"/>
      <c r="Q459" s="1"/>
      <c r="AA459" s="75"/>
      <c r="AB459" s="61"/>
      <c r="AC459" s="65"/>
      <c r="AD459" s="65"/>
      <c r="AE459" s="117"/>
      <c r="AF459" s="117"/>
      <c r="AG459" s="117"/>
      <c r="AH459" s="65"/>
      <c r="AI459" s="118"/>
      <c r="AJ459" s="117"/>
      <c r="AK459" s="117"/>
      <c r="AL459" s="65"/>
      <c r="AM459" s="119"/>
      <c r="AN459" s="119"/>
      <c r="AO459" s="119"/>
      <c r="AP459" s="65"/>
      <c r="AQ459" s="65"/>
      <c r="AR459" s="65"/>
      <c r="AS459" s="65"/>
      <c r="AT459" s="148" t="s">
        <v>351</v>
      </c>
      <c r="AU459" s="65"/>
      <c r="AV459" s="65"/>
      <c r="AW459" s="65"/>
      <c r="AX459" s="148"/>
      <c r="AY459" s="65"/>
      <c r="AZ459" s="65"/>
      <c r="BA459" s="65"/>
      <c r="BB459" s="65"/>
      <c r="BC459" s="148" t="s">
        <v>406</v>
      </c>
      <c r="BD459" s="65"/>
      <c r="BE459" s="65"/>
      <c r="BF459" s="65"/>
      <c r="BG459" s="148"/>
      <c r="BH459" s="65"/>
      <c r="BI459" s="65"/>
      <c r="BJ459" s="65"/>
      <c r="BK459" s="65"/>
      <c r="BL459" s="65"/>
      <c r="BM459" s="65"/>
    </row>
    <row r="460" spans="2:65" ht="22.5" outlineLevel="1" x14ac:dyDescent="0.25">
      <c r="B460" s="201"/>
      <c r="C460" s="77"/>
      <c r="D460" s="121" t="str">
        <f>$D$35</f>
        <v>Area section 1</v>
      </c>
      <c r="E460" s="61"/>
      <c r="F460" s="122" t="str">
        <f>$F$35</f>
        <v>Count?</v>
      </c>
      <c r="G460" s="122" t="str">
        <f>$G$35</f>
        <v>Thermal conductivity</v>
      </c>
      <c r="H460" s="122" t="str">
        <f>$H$35</f>
        <v>Manfacturing energy</v>
      </c>
      <c r="I460" s="122" t="str">
        <f>$I$35</f>
        <v>GWP</v>
      </c>
      <c r="J460" s="122" t="str">
        <f>$J$35</f>
        <v>Service life</v>
      </c>
      <c r="K460" s="121" t="str">
        <f>$K$35</f>
        <v>Area section 2 (optional)</v>
      </c>
      <c r="L460" s="121"/>
      <c r="M460" s="122" t="str">
        <f>$M$35</f>
        <v>Count?</v>
      </c>
      <c r="N460" s="122" t="str">
        <f>$N$35</f>
        <v>Thermal conductivity</v>
      </c>
      <c r="O460" s="122" t="str">
        <f>$O$35</f>
        <v>Manfacturing energy</v>
      </c>
      <c r="P460" s="122" t="str">
        <f>$P$35</f>
        <v>GWP</v>
      </c>
      <c r="Q460" s="122" t="str">
        <f>$Q$35</f>
        <v>Service life</v>
      </c>
      <c r="R460" s="121" t="str">
        <f>$R$35</f>
        <v>Area section 3 (optional)</v>
      </c>
      <c r="S460" s="74"/>
      <c r="T460" s="122" t="str">
        <f>$T$35</f>
        <v>Count?</v>
      </c>
      <c r="U460" s="122" t="str">
        <f>$U$35</f>
        <v>Thermal conductivity</v>
      </c>
      <c r="V460" s="122" t="str">
        <f>$V$35</f>
        <v>Manfacturing energy</v>
      </c>
      <c r="W460" s="122" t="str">
        <f>$W$35</f>
        <v>GWP</v>
      </c>
      <c r="X460" s="122" t="str">
        <f>$X$35</f>
        <v>Service life</v>
      </c>
      <c r="Y460" s="74"/>
      <c r="Z460" s="122" t="str">
        <f>$Z$35</f>
        <v>Thickness</v>
      </c>
      <c r="AA460" s="75"/>
      <c r="AB460" s="61"/>
      <c r="AC460" s="65"/>
      <c r="AD460" s="65"/>
      <c r="AE460" s="86"/>
      <c r="AF460" s="87"/>
      <c r="AG460" s="65"/>
      <c r="AH460" s="65"/>
      <c r="AI460" s="65"/>
      <c r="AJ460" s="65"/>
      <c r="AK460" s="65"/>
      <c r="AL460" s="65"/>
      <c r="AM460" s="65"/>
      <c r="AN460" s="65"/>
      <c r="AO460" s="65"/>
      <c r="AP460" s="65"/>
      <c r="AQ460" s="65"/>
      <c r="AR460" s="65"/>
      <c r="AS460" s="65"/>
      <c r="AT460" s="148"/>
      <c r="AU460" s="65"/>
      <c r="AV460" s="65"/>
      <c r="AW460" s="151" t="s">
        <v>353</v>
      </c>
      <c r="AX460" s="149">
        <f>D470</f>
        <v>1</v>
      </c>
      <c r="AY460" s="150">
        <f>K470</f>
        <v>0</v>
      </c>
      <c r="AZ460" s="150">
        <f>R470</f>
        <v>0</v>
      </c>
      <c r="BA460" s="156">
        <f>SUM(AX460:AZ460)</f>
        <v>1</v>
      </c>
      <c r="BB460" s="65"/>
      <c r="BC460" s="148"/>
      <c r="BD460" s="65"/>
      <c r="BE460" s="65"/>
      <c r="BF460" s="151" t="s">
        <v>353</v>
      </c>
      <c r="BG460" s="149">
        <f>AX460</f>
        <v>1</v>
      </c>
      <c r="BH460" s="149">
        <f t="shared" ref="BH460" si="330">AY460</f>
        <v>0</v>
      </c>
      <c r="BI460" s="149">
        <f t="shared" ref="BI460" si="331">AZ460</f>
        <v>0</v>
      </c>
      <c r="BJ460" s="156">
        <f>SUM(BG460:BI460)</f>
        <v>1</v>
      </c>
      <c r="BK460" s="65"/>
      <c r="BL460" s="65"/>
      <c r="BM460" s="65"/>
    </row>
    <row r="461" spans="2:65" outlineLevel="1" x14ac:dyDescent="0.25">
      <c r="B461" s="201"/>
      <c r="C461" s="77"/>
      <c r="E461" s="61"/>
      <c r="F461" s="120" t="s">
        <v>985</v>
      </c>
      <c r="G461" s="4" t="s">
        <v>135</v>
      </c>
      <c r="H461" s="120" t="s">
        <v>144</v>
      </c>
      <c r="I461" s="120" t="s">
        <v>148</v>
      </c>
      <c r="J461" s="120" t="s">
        <v>146</v>
      </c>
      <c r="K461" s="88"/>
      <c r="L461" s="88"/>
      <c r="M461" s="88"/>
      <c r="N461" s="4" t="s">
        <v>135</v>
      </c>
      <c r="O461" s="120" t="s">
        <v>144</v>
      </c>
      <c r="P461" s="120" t="s">
        <v>148</v>
      </c>
      <c r="Q461" s="120" t="s">
        <v>146</v>
      </c>
      <c r="R461" s="88"/>
      <c r="S461" s="88"/>
      <c r="T461" s="88"/>
      <c r="U461" s="4" t="s">
        <v>135</v>
      </c>
      <c r="V461" s="120" t="s">
        <v>144</v>
      </c>
      <c r="W461" s="120" t="s">
        <v>148</v>
      </c>
      <c r="X461" s="120" t="s">
        <v>146</v>
      </c>
      <c r="Y461" s="74"/>
      <c r="Z461" s="120" t="str">
        <f>$Z$36</f>
        <v>[mm]</v>
      </c>
      <c r="AA461" s="75"/>
      <c r="AB461" s="61"/>
      <c r="AC461" s="65"/>
      <c r="AD461" s="65"/>
      <c r="AE461" s="89" t="s">
        <v>120</v>
      </c>
      <c r="AF461" s="89" t="s">
        <v>121</v>
      </c>
      <c r="AG461" s="89" t="s">
        <v>122</v>
      </c>
      <c r="AH461" s="65"/>
      <c r="AI461" s="89" t="s">
        <v>120</v>
      </c>
      <c r="AJ461" s="89" t="s">
        <v>121</v>
      </c>
      <c r="AK461" s="89" t="s">
        <v>122</v>
      </c>
      <c r="AL461" s="90"/>
      <c r="AM461" s="89" t="s">
        <v>120</v>
      </c>
      <c r="AN461" s="89" t="s">
        <v>121</v>
      </c>
      <c r="AO461" s="89" t="s">
        <v>122</v>
      </c>
      <c r="AP461" s="90" t="s">
        <v>123</v>
      </c>
      <c r="AQ461" s="65"/>
      <c r="AR461" s="65"/>
      <c r="AS461" s="65"/>
      <c r="AT461" s="89" t="s">
        <v>120</v>
      </c>
      <c r="AU461" s="89" t="s">
        <v>121</v>
      </c>
      <c r="AV461" s="89" t="s">
        <v>122</v>
      </c>
      <c r="AW461" s="65"/>
      <c r="AX461" s="89" t="s">
        <v>120</v>
      </c>
      <c r="AY461" s="89" t="s">
        <v>121</v>
      </c>
      <c r="AZ461" s="89" t="s">
        <v>122</v>
      </c>
      <c r="BA461" s="89" t="s">
        <v>354</v>
      </c>
      <c r="BB461" s="65"/>
      <c r="BC461" s="89" t="s">
        <v>120</v>
      </c>
      <c r="BD461" s="89" t="s">
        <v>121</v>
      </c>
      <c r="BE461" s="89" t="s">
        <v>122</v>
      </c>
      <c r="BF461" s="65"/>
      <c r="BG461" s="89" t="s">
        <v>120</v>
      </c>
      <c r="BH461" s="89" t="s">
        <v>121</v>
      </c>
      <c r="BI461" s="89" t="s">
        <v>122</v>
      </c>
      <c r="BJ461" s="89" t="s">
        <v>354</v>
      </c>
      <c r="BK461" s="65"/>
      <c r="BL461" s="65"/>
      <c r="BM461" s="65"/>
    </row>
    <row r="462" spans="2:65" outlineLevel="1" x14ac:dyDescent="0.25">
      <c r="B462" s="201"/>
      <c r="C462" s="91"/>
      <c r="D462" s="418" t="s">
        <v>1007</v>
      </c>
      <c r="E462" s="419"/>
      <c r="F462" s="94">
        <v>1</v>
      </c>
      <c r="G462" s="136">
        <f>IF(ISNUMBER(VLOOKUP(LEFT(D462,3),'Material editor'!$D$11:$H$110,'Material editor'!$E$8,0)),VLOOKUP(LEFT(D462,3),'Material editor'!$D$11:$H$110,'Material editor'!$E$8,0),"")</f>
        <v>3.2000000000000001E-2</v>
      </c>
      <c r="H462" s="137">
        <f>IF(ISNUMBER(VLOOKUP(LEFT(D462,3),'Material editor'!$D$11:$H$110,'Material editor'!$F$8,0)),VLOOKUP(LEFT(D462,3),'Material editor'!$D$11:$H$110,'Material editor'!$F$8,0),"")</f>
        <v>217.89999999999998</v>
      </c>
      <c r="I462" s="137">
        <f>IF(ISNUMBER(VLOOKUP(LEFT(D462,3),'Material editor'!$D$11:$H$110,'Material editor'!$G$8,0)),VLOOKUP(LEFT(D462,3),'Material editor'!$D$11:$H$110,'Material editor'!$G$8,0),"")</f>
        <v>49.7</v>
      </c>
      <c r="J462" s="137">
        <f>IF(ISNUMBER(VLOOKUP(LEFT(D462,3),'Material editor'!$D$11:$H$110,'Material editor'!$H$8,0)),VLOOKUP(LEFT(D462,3),'Material editor'!$D$11:$H$110,'Material editor'!$H$8,0),"")</f>
        <v>40</v>
      </c>
      <c r="K462" s="418"/>
      <c r="L462" s="407"/>
      <c r="M462" s="94"/>
      <c r="N462" s="136" t="str">
        <f>IF(ISNUMBER(VLOOKUP(LEFT(K462,3),'Material editor'!$D$11:$H$110,'Material editor'!$E$8,0)),VLOOKUP(LEFT(K462,3),'Material editor'!$D$11:$H$110,'Material editor'!$E$8,0),"")</f>
        <v/>
      </c>
      <c r="O462" s="137" t="str">
        <f>IF(ISNUMBER(VLOOKUP(LEFT(K462,3),'Material editor'!$D$11:$H$110,'Material editor'!$F$8,0)),VLOOKUP(LEFT(K462,3),'Material editor'!$D$11:$H$110,'Material editor'!$F$8,0),"")</f>
        <v/>
      </c>
      <c r="P462" s="137" t="str">
        <f>IF(ISNUMBER(VLOOKUP(LEFT(K462,3),'Material editor'!$D$11:$H$110,'Material editor'!$G$8,0)),VLOOKUP(LEFT(K462,3),'Material editor'!$D$11:$H$110,'Material editor'!$G$8,0),"")</f>
        <v/>
      </c>
      <c r="Q462" s="137" t="str">
        <f>IF(ISNUMBER(VLOOKUP(LEFT(K462,3),'Material editor'!$D$11:$H$110,'Material editor'!$H$8,0)),VLOOKUP(LEFT(K462,3),'Material editor'!$D$11:$H$110,'Material editor'!$H$8,0),"")</f>
        <v/>
      </c>
      <c r="R462" s="418"/>
      <c r="S462" s="407"/>
      <c r="T462" s="94"/>
      <c r="U462" s="136" t="str">
        <f>IF(ISNUMBER(VLOOKUP(LEFT(R462,3),'Material editor'!$D$11:$H$110,'Material editor'!$E$8,0)),VLOOKUP(LEFT(R462,3),'Material editor'!$D$11:$H$110,'Material editor'!$E$8,0),"")</f>
        <v/>
      </c>
      <c r="V462" s="137" t="str">
        <f>IF(ISNUMBER(VLOOKUP(LEFT(R462,3),'Material editor'!$D$11:$H$110,'Material editor'!$F$8,0)),VLOOKUP(LEFT(R462,3),'Material editor'!$D$11:$H$110,'Material editor'!$F$8,0),"")</f>
        <v/>
      </c>
      <c r="W462" s="137" t="str">
        <f>IF(ISNUMBER(VLOOKUP(LEFT(R462,3),'Material editor'!$D$11:$H$110,'Material editor'!$G$8,0)),VLOOKUP(LEFT(R462,3),'Material editor'!$D$11:$H$110,'Material editor'!$G$8,0),"")</f>
        <v/>
      </c>
      <c r="X462" s="137" t="str">
        <f>IF(ISNUMBER(VLOOKUP(LEFT(R462,3),'Material editor'!$D$11:$H$110,'Material editor'!$H$8,0)),VLOOKUP(LEFT(R462,3),'Material editor'!$D$11:$H$110,'Material editor'!$H$8,0),"")</f>
        <v/>
      </c>
      <c r="Y462" s="74"/>
      <c r="Z462" s="94">
        <v>10</v>
      </c>
      <c r="AA462" s="8"/>
      <c r="AB462" s="61"/>
      <c r="AC462" s="65"/>
      <c r="AD462" s="65"/>
      <c r="AE462" s="95">
        <f t="shared" ref="AE462:AE469" si="332">IF(ISNUMBER(G462),IF(G462&gt;0,$Z462/1000/G462,0),0)</f>
        <v>0.3125</v>
      </c>
      <c r="AF462" s="95">
        <f t="shared" ref="AF462:AF469" si="333">IF(ISNUMBER(N462),IF(N462&gt;0,$Z462/1000/N462,0),$AE462)</f>
        <v>0.3125</v>
      </c>
      <c r="AG462" s="95">
        <f t="shared" ref="AG462:AG469" si="334">IF(ISNUMBER(U462),IF(U462&gt;0,$Z462/1000/U462,0),$AE462)</f>
        <v>0.3125</v>
      </c>
      <c r="AH462" s="65"/>
      <c r="AI462" s="95">
        <f t="shared" ref="AI462:AI468" si="335">IF(ISNUMBER(G462),G462,0)</f>
        <v>3.2000000000000001E-2</v>
      </c>
      <c r="AJ462" s="95">
        <f t="shared" ref="AJ462:AJ469" si="336">IF(ISNUMBER(N462),IF(N462&gt;0,N462,0),$AI462)</f>
        <v>3.2000000000000001E-2</v>
      </c>
      <c r="AK462" s="95">
        <f t="shared" ref="AK462:AK469" si="337">IF(ISNUMBER(U462),IF(U462&gt;0,U462,0),$AI462)</f>
        <v>3.2000000000000001E-2</v>
      </c>
      <c r="AL462" s="65"/>
      <c r="AM462" s="96">
        <f>AE471</f>
        <v>1</v>
      </c>
      <c r="AN462" s="96">
        <f>AF471</f>
        <v>0</v>
      </c>
      <c r="AO462" s="96">
        <f>AG471</f>
        <v>0</v>
      </c>
      <c r="AP462" s="65">
        <f t="shared" ref="AP462:AP469" si="338">IF(AI462&lt;&gt;0,Z462/1000/SUMPRODUCT(AM462:AO462,AI462:AK462),0)</f>
        <v>0.3125</v>
      </c>
      <c r="AQ462" s="65"/>
      <c r="AR462" s="65"/>
      <c r="AS462" s="65"/>
      <c r="AT462" s="95">
        <f>IF(ISNUMBER(H462),H462*F462*Z462/1000*Balance!$H$13/J462,0)</f>
        <v>1.0894999999999999</v>
      </c>
      <c r="AU462" s="95">
        <f>IF(ISTEXT(K462),IF(ISNUMBER(O462),O462*M462*Z462/1000*Balance!$H$13/Q462,0),AT462)</f>
        <v>1.0894999999999999</v>
      </c>
      <c r="AV462" s="95">
        <f>IF(ISTEXT(R462),IF(ISNUMBER(V462),V462*T462*Z462/1000*Balance!$H$13/X462,0),AT462)</f>
        <v>1.0894999999999999</v>
      </c>
      <c r="AW462" s="99"/>
      <c r="AX462" s="95">
        <f>AT462*AX460</f>
        <v>1.0894999999999999</v>
      </c>
      <c r="AY462" s="95">
        <f>AU462*AY460</f>
        <v>0</v>
      </c>
      <c r="AZ462" s="95">
        <f>AV462*AZ460</f>
        <v>0</v>
      </c>
      <c r="BA462" s="95">
        <f>SUM(AX462:AZ462)</f>
        <v>1.0894999999999999</v>
      </c>
      <c r="BB462" s="65"/>
      <c r="BC462" s="95">
        <f>IF(ISNUMBER(I462),I462*F462*Z462/1000*Balance!$H$13/J462,0)</f>
        <v>0.2485</v>
      </c>
      <c r="BD462" s="95">
        <f>IF(ISTEXT(K462),IF(ISNUMBER(P462),P462*M462*Z462/1000*Balance!$H$13/Q462,0),BC462)</f>
        <v>0.2485</v>
      </c>
      <c r="BE462" s="95">
        <f>IF(ISTEXT(R462),IF(ISNUMBER(W462),W462*T462*Z462/1000*Balance!$H$13/X462,0),BC462)</f>
        <v>0.2485</v>
      </c>
      <c r="BF462" s="99"/>
      <c r="BG462" s="95">
        <f>BC462*BG460</f>
        <v>0.2485</v>
      </c>
      <c r="BH462" s="95">
        <f>BD462*BH460</f>
        <v>0</v>
      </c>
      <c r="BI462" s="95">
        <f>BE462*BI460</f>
        <v>0</v>
      </c>
      <c r="BJ462" s="95">
        <f>SUM(BG462:BI462)</f>
        <v>0.2485</v>
      </c>
      <c r="BK462" s="65"/>
      <c r="BL462" s="65"/>
      <c r="BM462" s="65"/>
    </row>
    <row r="463" spans="2:65" outlineLevel="1" x14ac:dyDescent="0.25">
      <c r="B463" s="201"/>
      <c r="C463" s="91"/>
      <c r="D463" s="418" t="s">
        <v>1008</v>
      </c>
      <c r="E463" s="407"/>
      <c r="F463" s="94">
        <v>1</v>
      </c>
      <c r="G463" s="136">
        <f>IF(ISNUMBER(VLOOKUP(LEFT(D463,3),'Material editor'!$D$11:$H$110,'Material editor'!$E$8,0)),VLOOKUP(LEFT(D463,3),'Material editor'!$D$11:$H$110,'Material editor'!$E$8,0),"")</f>
        <v>3.5000000000000003E-2</v>
      </c>
      <c r="H463" s="137">
        <f>IF(ISNUMBER(VLOOKUP(LEFT(D463,3),'Material editor'!$D$11:$H$110,'Material editor'!$F$8,0)),VLOOKUP(LEFT(D463,3),'Material editor'!$D$11:$H$110,'Material editor'!$F$8,0),"")</f>
        <v>679.51079196710771</v>
      </c>
      <c r="I463" s="137">
        <f>IF(ISNUMBER(VLOOKUP(LEFT(D463,3),'Material editor'!$D$11:$H$110,'Material editor'!$G$8,0)),VLOOKUP(LEFT(D463,3),'Material editor'!$D$11:$H$110,'Material editor'!$G$8,0),"")</f>
        <v>207.98677030368501</v>
      </c>
      <c r="J463" s="137">
        <f>IF(ISNUMBER(VLOOKUP(LEFT(D463,3),'Material editor'!$D$11:$H$110,'Material editor'!$H$8,0)),VLOOKUP(LEFT(D463,3),'Material editor'!$D$11:$H$110,'Material editor'!$H$8,0),"")</f>
        <v>40</v>
      </c>
      <c r="K463" s="418"/>
      <c r="L463" s="407"/>
      <c r="M463" s="94"/>
      <c r="N463" s="136" t="str">
        <f>IF(ISNUMBER(VLOOKUP(LEFT(K463,3),'Material editor'!$D$11:$H$110,'Material editor'!$E$8,0)),VLOOKUP(LEFT(K463,3),'Material editor'!$D$11:$H$110,'Material editor'!$E$8,0),"")</f>
        <v/>
      </c>
      <c r="O463" s="137" t="str">
        <f>IF(ISNUMBER(VLOOKUP(LEFT(K463,3),'Material editor'!$D$11:$H$110,'Material editor'!$F$8,0)),VLOOKUP(LEFT(K463,3),'Material editor'!$D$11:$H$110,'Material editor'!$F$8,0),"")</f>
        <v/>
      </c>
      <c r="P463" s="137" t="str">
        <f>IF(ISNUMBER(VLOOKUP(LEFT(K463,3),'Material editor'!$D$11:$H$110,'Material editor'!$G$8,0)),VLOOKUP(LEFT(K463,3),'Material editor'!$D$11:$H$110,'Material editor'!$G$8,0),"")</f>
        <v/>
      </c>
      <c r="Q463" s="137" t="str">
        <f>IF(ISNUMBER(VLOOKUP(LEFT(K463,3),'Material editor'!$D$11:$H$110,'Material editor'!$H$8,0)),VLOOKUP(LEFT(K463,3),'Material editor'!$D$11:$H$110,'Material editor'!$H$8,0),"")</f>
        <v/>
      </c>
      <c r="R463" s="418"/>
      <c r="S463" s="407"/>
      <c r="T463" s="94"/>
      <c r="U463" s="136" t="str">
        <f>IF(ISNUMBER(VLOOKUP(LEFT(R463,3),'Material editor'!$D$11:$H$110,'Material editor'!$E$8,0)),VLOOKUP(LEFT(R463,3),'Material editor'!$D$11:$H$110,'Material editor'!$E$8,0),"")</f>
        <v/>
      </c>
      <c r="V463" s="137" t="str">
        <f>IF(ISNUMBER(VLOOKUP(LEFT(R463,3),'Material editor'!$D$11:$H$110,'Material editor'!$F$8,0)),VLOOKUP(LEFT(R463,3),'Material editor'!$D$11:$H$110,'Material editor'!$F$8,0),"")</f>
        <v/>
      </c>
      <c r="W463" s="137" t="str">
        <f>IF(ISNUMBER(VLOOKUP(LEFT(R463,3),'Material editor'!$D$11:$H$110,'Material editor'!$G$8,0)),VLOOKUP(LEFT(R463,3),'Material editor'!$D$11:$H$110,'Material editor'!$G$8,0),"")</f>
        <v/>
      </c>
      <c r="X463" s="137" t="str">
        <f>IF(ISNUMBER(VLOOKUP(LEFT(R463,3),'Material editor'!$D$11:$H$110,'Material editor'!$H$8,0)),VLOOKUP(LEFT(R463,3),'Material editor'!$D$11:$H$110,'Material editor'!$H$8,0),"")</f>
        <v/>
      </c>
      <c r="Y463" s="74"/>
      <c r="Z463" s="94">
        <v>10</v>
      </c>
      <c r="AA463" s="8"/>
      <c r="AB463" s="61"/>
      <c r="AC463" s="65"/>
      <c r="AD463" s="65"/>
      <c r="AE463" s="95">
        <f t="shared" si="332"/>
        <v>0.2857142857142857</v>
      </c>
      <c r="AF463" s="95">
        <f t="shared" si="333"/>
        <v>0.2857142857142857</v>
      </c>
      <c r="AG463" s="95">
        <f t="shared" si="334"/>
        <v>0.2857142857142857</v>
      </c>
      <c r="AH463" s="65"/>
      <c r="AI463" s="95">
        <f t="shared" si="335"/>
        <v>3.5000000000000003E-2</v>
      </c>
      <c r="AJ463" s="95">
        <f t="shared" si="336"/>
        <v>3.5000000000000003E-2</v>
      </c>
      <c r="AK463" s="95">
        <f t="shared" si="337"/>
        <v>3.5000000000000003E-2</v>
      </c>
      <c r="AL463" s="65"/>
      <c r="AM463" s="96">
        <f t="shared" ref="AM463:AO463" si="339">AM462</f>
        <v>1</v>
      </c>
      <c r="AN463" s="96">
        <f t="shared" si="339"/>
        <v>0</v>
      </c>
      <c r="AO463" s="96">
        <f t="shared" si="339"/>
        <v>0</v>
      </c>
      <c r="AP463" s="65">
        <f t="shared" si="338"/>
        <v>0.2857142857142857</v>
      </c>
      <c r="AQ463" s="65"/>
      <c r="AR463" s="65"/>
      <c r="AS463" s="65"/>
      <c r="AT463" s="95">
        <f>IF(ISNUMBER(H463),H463*F463*Z463/1000*Balance!$H$13/J463,0)</f>
        <v>3.3975539598355384</v>
      </c>
      <c r="AU463" s="95">
        <f>IF(ISTEXT(K463),IF(ISNUMBER(O463),O463*M463*Z463/1000*Balance!$H$13/Q463,0),AT463)</f>
        <v>3.3975539598355384</v>
      </c>
      <c r="AV463" s="95">
        <f>IF(ISTEXT(R463),IF(ISNUMBER(V463),V463*T463*Z463/1000*Balance!$H$13/X463,0),AT463)</f>
        <v>3.3975539598355384</v>
      </c>
      <c r="AW463" s="65"/>
      <c r="AX463" s="95">
        <f>AT463*AX460</f>
        <v>3.3975539598355384</v>
      </c>
      <c r="AY463" s="95">
        <f>AU463*AY460</f>
        <v>0</v>
      </c>
      <c r="AZ463" s="95">
        <f>AV463*AZ460</f>
        <v>0</v>
      </c>
      <c r="BA463" s="95">
        <f t="shared" ref="BA463:BA469" si="340">SUM(AX463:AZ463)</f>
        <v>3.3975539598355384</v>
      </c>
      <c r="BB463" s="65"/>
      <c r="BC463" s="95">
        <f>IF(ISNUMBER(I463),I463*F463*Z463/1000*Balance!$H$13/J463,0)</f>
        <v>1.0399338515184249</v>
      </c>
      <c r="BD463" s="95">
        <f>IF(ISTEXT(K463),IF(ISNUMBER(P463),P463*M463*Z463/1000*Balance!$H$13/Q463,0),BC463)</f>
        <v>1.0399338515184249</v>
      </c>
      <c r="BE463" s="95">
        <f>IF(ISTEXT(R463),IF(ISNUMBER(W463),W463*T463*Z463/1000*Balance!$H$13/X463,0),BC463)</f>
        <v>1.0399338515184249</v>
      </c>
      <c r="BF463" s="65"/>
      <c r="BG463" s="95">
        <f>BC463*BG460</f>
        <v>1.0399338515184249</v>
      </c>
      <c r="BH463" s="95">
        <f>BD463*BH460</f>
        <v>0</v>
      </c>
      <c r="BI463" s="95">
        <f>BE463*BI460</f>
        <v>0</v>
      </c>
      <c r="BJ463" s="95">
        <f t="shared" ref="BJ463:BJ469" si="341">SUM(BG463:BI463)</f>
        <v>1.0399338515184249</v>
      </c>
      <c r="BK463" s="65"/>
      <c r="BL463" s="65"/>
      <c r="BM463" s="65"/>
    </row>
    <row r="464" spans="2:65" outlineLevel="1" x14ac:dyDescent="0.25">
      <c r="B464" s="201"/>
      <c r="C464" s="91"/>
      <c r="D464" s="418" t="s">
        <v>1014</v>
      </c>
      <c r="E464" s="407"/>
      <c r="F464" s="94">
        <v>1</v>
      </c>
      <c r="G464" s="136">
        <f>IF(ISNUMBER(VLOOKUP(LEFT(D464,3),'Material editor'!$D$11:$H$110,'Material editor'!$E$8,0)),VLOOKUP(LEFT(D464,3),'Material editor'!$D$11:$H$110,'Material editor'!$E$8,0),"")</f>
        <v>3.5000000000000003E-2</v>
      </c>
      <c r="H464" s="137">
        <f>IF(ISNUMBER(VLOOKUP(LEFT(D464,3),'Material editor'!$D$11:$H$110,'Material editor'!$F$8,0)),VLOOKUP(LEFT(D464,3),'Material editor'!$D$11:$H$110,'Material editor'!$F$8,0),"")</f>
        <v>192.72001572903667</v>
      </c>
      <c r="I464" s="137">
        <f>IF(ISNUMBER(VLOOKUP(LEFT(D464,3),'Material editor'!$D$11:$H$110,'Material editor'!$G$8,0)),VLOOKUP(LEFT(D464,3),'Material editor'!$D$11:$H$110,'Material editor'!$G$8,0),"")</f>
        <v>46.182631382056201</v>
      </c>
      <c r="J464" s="137">
        <f>IF(ISNUMBER(VLOOKUP(LEFT(D464,3),'Material editor'!$D$11:$H$110,'Material editor'!$H$8,0)),VLOOKUP(LEFT(D464,3),'Material editor'!$D$11:$H$110,'Material editor'!$H$8,0),"")</f>
        <v>40</v>
      </c>
      <c r="K464" s="418"/>
      <c r="L464" s="407"/>
      <c r="M464" s="94"/>
      <c r="N464" s="136" t="str">
        <f>IF(ISNUMBER(VLOOKUP(LEFT(K464,3),'Material editor'!$D$11:$H$110,'Material editor'!$E$8,0)),VLOOKUP(LEFT(K464,3),'Material editor'!$D$11:$H$110,'Material editor'!$E$8,0),"")</f>
        <v/>
      </c>
      <c r="O464" s="137" t="str">
        <f>IF(ISNUMBER(VLOOKUP(LEFT(K464,3),'Material editor'!$D$11:$H$110,'Material editor'!$F$8,0)),VLOOKUP(LEFT(K464,3),'Material editor'!$D$11:$H$110,'Material editor'!$F$8,0),"")</f>
        <v/>
      </c>
      <c r="P464" s="137" t="str">
        <f>IF(ISNUMBER(VLOOKUP(LEFT(K464,3),'Material editor'!$D$11:$H$110,'Material editor'!$G$8,0)),VLOOKUP(LEFT(K464,3),'Material editor'!$D$11:$H$110,'Material editor'!$G$8,0),"")</f>
        <v/>
      </c>
      <c r="Q464" s="137" t="str">
        <f>IF(ISNUMBER(VLOOKUP(LEFT(K464,3),'Material editor'!$D$11:$H$110,'Material editor'!$H$8,0)),VLOOKUP(LEFT(K464,3),'Material editor'!$D$11:$H$110,'Material editor'!$H$8,0),"")</f>
        <v/>
      </c>
      <c r="R464" s="418"/>
      <c r="S464" s="407"/>
      <c r="T464" s="94"/>
      <c r="U464" s="136" t="str">
        <f>IF(ISNUMBER(VLOOKUP(LEFT(R464,3),'Material editor'!$D$11:$H$110,'Material editor'!$E$8,0)),VLOOKUP(LEFT(R464,3),'Material editor'!$D$11:$H$110,'Material editor'!$E$8,0),"")</f>
        <v/>
      </c>
      <c r="V464" s="137" t="str">
        <f>IF(ISNUMBER(VLOOKUP(LEFT(R464,3),'Material editor'!$D$11:$H$110,'Material editor'!$F$8,0)),VLOOKUP(LEFT(R464,3),'Material editor'!$D$11:$H$110,'Material editor'!$F$8,0),"")</f>
        <v/>
      </c>
      <c r="W464" s="137" t="str">
        <f>IF(ISNUMBER(VLOOKUP(LEFT(R464,3),'Material editor'!$D$11:$H$110,'Material editor'!$G$8,0)),VLOOKUP(LEFT(R464,3),'Material editor'!$D$11:$H$110,'Material editor'!$G$8,0),"")</f>
        <v/>
      </c>
      <c r="X464" s="137" t="str">
        <f>IF(ISNUMBER(VLOOKUP(LEFT(R464,3),'Material editor'!$D$11:$H$110,'Material editor'!$H$8,0)),VLOOKUP(LEFT(R464,3),'Material editor'!$D$11:$H$110,'Material editor'!$H$8,0),"")</f>
        <v/>
      </c>
      <c r="Y464" s="74"/>
      <c r="Z464" s="94">
        <v>10</v>
      </c>
      <c r="AA464" s="8"/>
      <c r="AB464" s="61"/>
      <c r="AC464" s="65"/>
      <c r="AD464" s="65"/>
      <c r="AE464" s="95">
        <f t="shared" si="332"/>
        <v>0.2857142857142857</v>
      </c>
      <c r="AF464" s="95">
        <f t="shared" si="333"/>
        <v>0.2857142857142857</v>
      </c>
      <c r="AG464" s="95">
        <f t="shared" si="334"/>
        <v>0.2857142857142857</v>
      </c>
      <c r="AH464" s="65"/>
      <c r="AI464" s="95">
        <f t="shared" si="335"/>
        <v>3.5000000000000003E-2</v>
      </c>
      <c r="AJ464" s="95">
        <f t="shared" si="336"/>
        <v>3.5000000000000003E-2</v>
      </c>
      <c r="AK464" s="95">
        <f t="shared" si="337"/>
        <v>3.5000000000000003E-2</v>
      </c>
      <c r="AL464" s="65"/>
      <c r="AM464" s="96">
        <f t="shared" ref="AM464:AO464" si="342">AM463</f>
        <v>1</v>
      </c>
      <c r="AN464" s="96">
        <f t="shared" si="342"/>
        <v>0</v>
      </c>
      <c r="AO464" s="96">
        <f t="shared" si="342"/>
        <v>0</v>
      </c>
      <c r="AP464" s="65">
        <f t="shared" si="338"/>
        <v>0.2857142857142857</v>
      </c>
      <c r="AQ464" s="65"/>
      <c r="AR464" s="65"/>
      <c r="AS464" s="65"/>
      <c r="AT464" s="95">
        <f>IF(ISNUMBER(H464),H464*F464*Z464/1000*Balance!$H$13/J464,0)</f>
        <v>0.96360007864518349</v>
      </c>
      <c r="AU464" s="95">
        <f>IF(ISTEXT(K464),IF(ISNUMBER(O464),O464*M464*Z464/1000*Balance!$H$13/Q464,0),AT464)</f>
        <v>0.96360007864518349</v>
      </c>
      <c r="AV464" s="95">
        <f>IF(ISTEXT(R464),IF(ISNUMBER(V464),V464*T464*Z464/1000*Balance!$H$13/X464,0),AT464)</f>
        <v>0.96360007864518349</v>
      </c>
      <c r="AW464" s="65"/>
      <c r="AX464" s="95">
        <f>AT464*AX460</f>
        <v>0.96360007864518349</v>
      </c>
      <c r="AY464" s="95">
        <f>AU464*AY460</f>
        <v>0</v>
      </c>
      <c r="AZ464" s="95">
        <f>AV464*AZ460</f>
        <v>0</v>
      </c>
      <c r="BA464" s="95">
        <f t="shared" si="340"/>
        <v>0.96360007864518349</v>
      </c>
      <c r="BB464" s="65"/>
      <c r="BC464" s="95">
        <f>IF(ISNUMBER(I464),I464*F464*Z464/1000*Balance!$H$13/J464,0)</f>
        <v>0.230913156910281</v>
      </c>
      <c r="BD464" s="95">
        <f>IF(ISTEXT(K464),IF(ISNUMBER(P464),P464*M464*Z464/1000*Balance!$H$13/Q464,0),BC464)</f>
        <v>0.230913156910281</v>
      </c>
      <c r="BE464" s="95">
        <f>IF(ISTEXT(R464),IF(ISNUMBER(W464),W464*T464*Z464/1000*Balance!$H$13/X464,0),BC464)</f>
        <v>0.230913156910281</v>
      </c>
      <c r="BF464" s="65"/>
      <c r="BG464" s="95">
        <f>BC464*BG460</f>
        <v>0.230913156910281</v>
      </c>
      <c r="BH464" s="95">
        <f>BD464*BH460</f>
        <v>0</v>
      </c>
      <c r="BI464" s="95">
        <f>BE464*BI460</f>
        <v>0</v>
      </c>
      <c r="BJ464" s="95">
        <f t="shared" si="341"/>
        <v>0.230913156910281</v>
      </c>
      <c r="BK464" s="65"/>
      <c r="BL464" s="65"/>
      <c r="BM464" s="65"/>
    </row>
    <row r="465" spans="2:65" outlineLevel="1" x14ac:dyDescent="0.25">
      <c r="B465" s="201"/>
      <c r="C465" s="91"/>
      <c r="D465" s="418" t="s">
        <v>1012</v>
      </c>
      <c r="E465" s="407"/>
      <c r="F465" s="94">
        <v>1</v>
      </c>
      <c r="G465" s="136">
        <f>IF(ISNUMBER(VLOOKUP(LEFT(D465,3),'Material editor'!$D$11:$H$110,'Material editor'!$E$8,0)),VLOOKUP(LEFT(D465,3),'Material editor'!$D$11:$H$110,'Material editor'!$E$8,0),"")</f>
        <v>4.4999999999999998E-2</v>
      </c>
      <c r="H465" s="137">
        <f>IF(ISNUMBER(VLOOKUP(LEFT(D465,3),'Material editor'!$D$11:$H$110,'Material editor'!$F$8,0)),VLOOKUP(LEFT(D465,3),'Material editor'!$D$11:$H$110,'Material editor'!$F$8,0),"")</f>
        <v>700.38883783406686</v>
      </c>
      <c r="I465" s="137">
        <f>IF(ISNUMBER(VLOOKUP(LEFT(D465,3),'Material editor'!$D$11:$H$110,'Material editor'!$G$8,0)),VLOOKUP(LEFT(D465,3),'Material editor'!$D$11:$H$110,'Material editor'!$G$8,0),"")</f>
        <v>-153.896768984163</v>
      </c>
      <c r="J465" s="137">
        <f>IF(ISNUMBER(VLOOKUP(LEFT(D465,3),'Material editor'!$D$11:$H$110,'Material editor'!$H$8,0)),VLOOKUP(LEFT(D465,3),'Material editor'!$D$11:$H$110,'Material editor'!$H$8,0),"")</f>
        <v>40</v>
      </c>
      <c r="K465" s="418"/>
      <c r="L465" s="407"/>
      <c r="M465" s="94"/>
      <c r="N465" s="136" t="str">
        <f>IF(ISNUMBER(VLOOKUP(LEFT(K465,3),'Material editor'!$D$11:$H$110,'Material editor'!$E$8,0)),VLOOKUP(LEFT(K465,3),'Material editor'!$D$11:$H$110,'Material editor'!$E$8,0),"")</f>
        <v/>
      </c>
      <c r="O465" s="137" t="str">
        <f>IF(ISNUMBER(VLOOKUP(LEFT(K465,3),'Material editor'!$D$11:$H$110,'Material editor'!$F$8,0)),VLOOKUP(LEFT(K465,3),'Material editor'!$D$11:$H$110,'Material editor'!$F$8,0),"")</f>
        <v/>
      </c>
      <c r="P465" s="137" t="str">
        <f>IF(ISNUMBER(VLOOKUP(LEFT(K465,3),'Material editor'!$D$11:$H$110,'Material editor'!$G$8,0)),VLOOKUP(LEFT(K465,3),'Material editor'!$D$11:$H$110,'Material editor'!$G$8,0),"")</f>
        <v/>
      </c>
      <c r="Q465" s="137" t="str">
        <f>IF(ISNUMBER(VLOOKUP(LEFT(K465,3),'Material editor'!$D$11:$H$110,'Material editor'!$H$8,0)),VLOOKUP(LEFT(K465,3),'Material editor'!$D$11:$H$110,'Material editor'!$H$8,0),"")</f>
        <v/>
      </c>
      <c r="R465" s="418"/>
      <c r="S465" s="407"/>
      <c r="T465" s="94"/>
      <c r="U465" s="136" t="str">
        <f>IF(ISNUMBER(VLOOKUP(LEFT(R465,3),'Material editor'!$D$11:$H$110,'Material editor'!$E$8,0)),VLOOKUP(LEFT(R465,3),'Material editor'!$D$11:$H$110,'Material editor'!$E$8,0),"")</f>
        <v/>
      </c>
      <c r="V465" s="137" t="str">
        <f>IF(ISNUMBER(VLOOKUP(LEFT(R465,3),'Material editor'!$D$11:$H$110,'Material editor'!$F$8,0)),VLOOKUP(LEFT(R465,3),'Material editor'!$D$11:$H$110,'Material editor'!$F$8,0),"")</f>
        <v/>
      </c>
      <c r="W465" s="137" t="str">
        <f>IF(ISNUMBER(VLOOKUP(LEFT(R465,3),'Material editor'!$D$11:$H$110,'Material editor'!$G$8,0)),VLOOKUP(LEFT(R465,3),'Material editor'!$D$11:$H$110,'Material editor'!$G$8,0),"")</f>
        <v/>
      </c>
      <c r="X465" s="137" t="str">
        <f>IF(ISNUMBER(VLOOKUP(LEFT(R465,3),'Material editor'!$D$11:$H$110,'Material editor'!$H$8,0)),VLOOKUP(LEFT(R465,3),'Material editor'!$D$11:$H$110,'Material editor'!$H$8,0),"")</f>
        <v/>
      </c>
      <c r="Y465" s="74"/>
      <c r="Z465" s="94">
        <v>10</v>
      </c>
      <c r="AA465" s="8"/>
      <c r="AB465" s="61"/>
      <c r="AC465" s="65"/>
      <c r="AD465" s="65"/>
      <c r="AE465" s="95">
        <f t="shared" si="332"/>
        <v>0.22222222222222224</v>
      </c>
      <c r="AF465" s="95">
        <f t="shared" si="333"/>
        <v>0.22222222222222224</v>
      </c>
      <c r="AG465" s="95">
        <f t="shared" si="334"/>
        <v>0.22222222222222224</v>
      </c>
      <c r="AH465" s="65"/>
      <c r="AI465" s="95">
        <f t="shared" si="335"/>
        <v>4.4999999999999998E-2</v>
      </c>
      <c r="AJ465" s="95">
        <f t="shared" si="336"/>
        <v>4.4999999999999998E-2</v>
      </c>
      <c r="AK465" s="95">
        <f t="shared" si="337"/>
        <v>4.4999999999999998E-2</v>
      </c>
      <c r="AL465" s="65"/>
      <c r="AM465" s="96">
        <f t="shared" ref="AM465:AO465" si="343">AM464</f>
        <v>1</v>
      </c>
      <c r="AN465" s="96">
        <f t="shared" si="343"/>
        <v>0</v>
      </c>
      <c r="AO465" s="96">
        <f t="shared" si="343"/>
        <v>0</v>
      </c>
      <c r="AP465" s="65">
        <f t="shared" si="338"/>
        <v>0.22222222222222224</v>
      </c>
      <c r="AQ465" s="65"/>
      <c r="AR465" s="65"/>
      <c r="AS465" s="65"/>
      <c r="AT465" s="95">
        <f>IF(ISNUMBER(H465),H465*F465*Z465/1000*Balance!$H$13/J465,0)</f>
        <v>3.5019441891703345</v>
      </c>
      <c r="AU465" s="95">
        <f>IF(ISTEXT(K465),IF(ISNUMBER(O465),O465*M465*Z465/1000*Balance!$H$13/Q465,0),AT465)</f>
        <v>3.5019441891703345</v>
      </c>
      <c r="AV465" s="95">
        <f>IF(ISTEXT(R465),IF(ISNUMBER(V465),V465*T465*Z465/1000*Balance!$H$13/X465,0),AT465)</f>
        <v>3.5019441891703345</v>
      </c>
      <c r="AW465" s="65"/>
      <c r="AX465" s="95">
        <f>AT465*AX460</f>
        <v>3.5019441891703345</v>
      </c>
      <c r="AY465" s="95">
        <f>AU465*AY460</f>
        <v>0</v>
      </c>
      <c r="AZ465" s="95">
        <f>AV465*AZ460</f>
        <v>0</v>
      </c>
      <c r="BA465" s="95">
        <f t="shared" si="340"/>
        <v>3.5019441891703345</v>
      </c>
      <c r="BB465" s="65"/>
      <c r="BC465" s="95">
        <f>IF(ISNUMBER(I465),I465*F465*Z465/1000*Balance!$H$13/J465,0)</f>
        <v>-0.76948384492081501</v>
      </c>
      <c r="BD465" s="95">
        <f>IF(ISTEXT(K465),IF(ISNUMBER(P465),P465*M465*Z465/1000*Balance!$H$13/Q465,0),BC465)</f>
        <v>-0.76948384492081501</v>
      </c>
      <c r="BE465" s="95">
        <f>IF(ISTEXT(R465),IF(ISNUMBER(W465),W465*T465*Z465/1000*Balance!$H$13/X465,0),BC465)</f>
        <v>-0.76948384492081501</v>
      </c>
      <c r="BF465" s="65"/>
      <c r="BG465" s="95">
        <f>BC465*BG460</f>
        <v>-0.76948384492081501</v>
      </c>
      <c r="BH465" s="95">
        <f>BD465*BH460</f>
        <v>0</v>
      </c>
      <c r="BI465" s="95">
        <f>BE465*BI460</f>
        <v>0</v>
      </c>
      <c r="BJ465" s="95">
        <f t="shared" si="341"/>
        <v>-0.76948384492081501</v>
      </c>
      <c r="BK465" s="65"/>
      <c r="BL465" s="65"/>
      <c r="BM465" s="65"/>
    </row>
    <row r="466" spans="2:65" outlineLevel="1" x14ac:dyDescent="0.25">
      <c r="B466" s="201"/>
      <c r="C466" s="91"/>
      <c r="D466" s="418" t="s">
        <v>1016</v>
      </c>
      <c r="E466" s="407"/>
      <c r="F466" s="94">
        <v>1</v>
      </c>
      <c r="G466" s="136">
        <f>IF(ISNUMBER(VLOOKUP(LEFT(D466,3),'Material editor'!$D$11:$H$110,'Material editor'!$E$8,0)),VLOOKUP(LEFT(D466,3),'Material editor'!$D$11:$H$110,'Material editor'!$E$8,0),"")</f>
        <v>2.1999999999999999E-2</v>
      </c>
      <c r="H466" s="137">
        <f>IF(ISNUMBER(VLOOKUP(LEFT(D466,3),'Material editor'!$D$11:$H$110,'Material editor'!$F$8,0)),VLOOKUP(LEFT(D466,3),'Material editor'!$D$11:$H$110,'Material editor'!$F$8,0),"")</f>
        <v>467.31373173526583</v>
      </c>
      <c r="I466" s="137">
        <f>IF(ISNUMBER(VLOOKUP(LEFT(D466,3),'Material editor'!$D$11:$H$110,'Material editor'!$G$8,0)),VLOOKUP(LEFT(D466,3),'Material editor'!$D$11:$H$110,'Material editor'!$G$8,0),"")</f>
        <v>91.918585561511307</v>
      </c>
      <c r="J466" s="137">
        <f>IF(ISNUMBER(VLOOKUP(LEFT(D466,3),'Material editor'!$D$11:$H$110,'Material editor'!$H$8,0)),VLOOKUP(LEFT(D466,3),'Material editor'!$D$11:$H$110,'Material editor'!$H$8,0),"")</f>
        <v>40</v>
      </c>
      <c r="K466" s="418"/>
      <c r="L466" s="407"/>
      <c r="M466" s="94"/>
      <c r="N466" s="136" t="str">
        <f>IF(ISNUMBER(VLOOKUP(LEFT(K466,3),'Material editor'!$D$11:$H$110,'Material editor'!$E$8,0)),VLOOKUP(LEFT(K466,3),'Material editor'!$D$11:$H$110,'Material editor'!$E$8,0),"")</f>
        <v/>
      </c>
      <c r="O466" s="137" t="str">
        <f>IF(ISNUMBER(VLOOKUP(LEFT(K466,3),'Material editor'!$D$11:$H$110,'Material editor'!$F$8,0)),VLOOKUP(LEFT(K466,3),'Material editor'!$D$11:$H$110,'Material editor'!$F$8,0),"")</f>
        <v/>
      </c>
      <c r="P466" s="137" t="str">
        <f>IF(ISNUMBER(VLOOKUP(LEFT(K466,3),'Material editor'!$D$11:$H$110,'Material editor'!$G$8,0)),VLOOKUP(LEFT(K466,3),'Material editor'!$D$11:$H$110,'Material editor'!$G$8,0),"")</f>
        <v/>
      </c>
      <c r="Q466" s="137" t="str">
        <f>IF(ISNUMBER(VLOOKUP(LEFT(K466,3),'Material editor'!$D$11:$H$110,'Material editor'!$H$8,0)),VLOOKUP(LEFT(K466,3),'Material editor'!$D$11:$H$110,'Material editor'!$H$8,0),"")</f>
        <v/>
      </c>
      <c r="R466" s="418"/>
      <c r="S466" s="407"/>
      <c r="T466" s="94"/>
      <c r="U466" s="136" t="str">
        <f>IF(ISNUMBER(VLOOKUP(LEFT(R466,3),'Material editor'!$D$11:$H$110,'Material editor'!$E$8,0)),VLOOKUP(LEFT(R466,3),'Material editor'!$D$11:$H$110,'Material editor'!$E$8,0),"")</f>
        <v/>
      </c>
      <c r="V466" s="137" t="str">
        <f>IF(ISNUMBER(VLOOKUP(LEFT(R466,3),'Material editor'!$D$11:$H$110,'Material editor'!$F$8,0)),VLOOKUP(LEFT(R466,3),'Material editor'!$D$11:$H$110,'Material editor'!$F$8,0),"")</f>
        <v/>
      </c>
      <c r="W466" s="137" t="str">
        <f>IF(ISNUMBER(VLOOKUP(LEFT(R466,3),'Material editor'!$D$11:$H$110,'Material editor'!$G$8,0)),VLOOKUP(LEFT(R466,3),'Material editor'!$D$11:$H$110,'Material editor'!$G$8,0),"")</f>
        <v/>
      </c>
      <c r="X466" s="137" t="str">
        <f>IF(ISNUMBER(VLOOKUP(LEFT(R466,3),'Material editor'!$D$11:$H$110,'Material editor'!$H$8,0)),VLOOKUP(LEFT(R466,3),'Material editor'!$D$11:$H$110,'Material editor'!$H$8,0),"")</f>
        <v/>
      </c>
      <c r="Y466" s="74"/>
      <c r="Z466" s="94">
        <v>10</v>
      </c>
      <c r="AA466" s="8"/>
      <c r="AB466" s="61"/>
      <c r="AC466" s="65"/>
      <c r="AD466" s="65"/>
      <c r="AE466" s="95">
        <f t="shared" si="332"/>
        <v>0.45454545454545459</v>
      </c>
      <c r="AF466" s="95">
        <f t="shared" si="333"/>
        <v>0.45454545454545459</v>
      </c>
      <c r="AG466" s="95">
        <f t="shared" si="334"/>
        <v>0.45454545454545459</v>
      </c>
      <c r="AH466" s="65"/>
      <c r="AI466" s="95">
        <f t="shared" si="335"/>
        <v>2.1999999999999999E-2</v>
      </c>
      <c r="AJ466" s="95">
        <f t="shared" si="336"/>
        <v>2.1999999999999999E-2</v>
      </c>
      <c r="AK466" s="95">
        <f t="shared" si="337"/>
        <v>2.1999999999999999E-2</v>
      </c>
      <c r="AL466" s="65"/>
      <c r="AM466" s="96">
        <f t="shared" ref="AM466:AO466" si="344">AM465</f>
        <v>1</v>
      </c>
      <c r="AN466" s="96">
        <f t="shared" si="344"/>
        <v>0</v>
      </c>
      <c r="AO466" s="96">
        <f t="shared" si="344"/>
        <v>0</v>
      </c>
      <c r="AP466" s="65">
        <f t="shared" si="338"/>
        <v>0.45454545454545459</v>
      </c>
      <c r="AQ466" s="65"/>
      <c r="AR466" s="65"/>
      <c r="AS466" s="65"/>
      <c r="AT466" s="95">
        <f>IF(ISNUMBER(H466),H466*F466*Z466/1000*Balance!$H$13/J466,0)</f>
        <v>2.3365686586763292</v>
      </c>
      <c r="AU466" s="95">
        <f>IF(ISTEXT(K466),IF(ISNUMBER(O466),O466*M466*Z466/1000*Balance!$H$13/Q466,0),AT466)</f>
        <v>2.3365686586763292</v>
      </c>
      <c r="AV466" s="95">
        <f>IF(ISTEXT(R466),IF(ISNUMBER(V466),V466*T466*Z466/1000*Balance!$H$13/X466,0),AT466)</f>
        <v>2.3365686586763292</v>
      </c>
      <c r="AW466" s="65"/>
      <c r="AX466" s="95">
        <f>AT466*AX460</f>
        <v>2.3365686586763292</v>
      </c>
      <c r="AY466" s="95">
        <f>AU466*AY460</f>
        <v>0</v>
      </c>
      <c r="AZ466" s="95">
        <f>AV466*AZ460</f>
        <v>0</v>
      </c>
      <c r="BA466" s="95">
        <f t="shared" si="340"/>
        <v>2.3365686586763292</v>
      </c>
      <c r="BB466" s="65"/>
      <c r="BC466" s="95">
        <f>IF(ISNUMBER(I466),I466*F466*Z466/1000*Balance!$H$13/J466,0)</f>
        <v>0.45959292780755651</v>
      </c>
      <c r="BD466" s="95">
        <f>IF(ISTEXT(K466),IF(ISNUMBER(P466),P466*M466*Z466/1000*Balance!$H$13/Q466,0),BC466)</f>
        <v>0.45959292780755651</v>
      </c>
      <c r="BE466" s="95">
        <f>IF(ISTEXT(R466),IF(ISNUMBER(W466),W466*T466*Z466/1000*Balance!$H$13/X466,0),BC466)</f>
        <v>0.45959292780755651</v>
      </c>
      <c r="BF466" s="65"/>
      <c r="BG466" s="95">
        <f>BC466*BG460</f>
        <v>0.45959292780755651</v>
      </c>
      <c r="BH466" s="95">
        <f>BD466*BH460</f>
        <v>0</v>
      </c>
      <c r="BI466" s="95">
        <f>BE466*BI460</f>
        <v>0</v>
      </c>
      <c r="BJ466" s="95">
        <f t="shared" si="341"/>
        <v>0.45959292780755651</v>
      </c>
      <c r="BK466" s="65"/>
      <c r="BL466" s="65"/>
      <c r="BM466" s="65"/>
    </row>
    <row r="467" spans="2:65" outlineLevel="1" x14ac:dyDescent="0.25">
      <c r="B467" s="201"/>
      <c r="C467" s="91"/>
      <c r="D467" s="418" t="s">
        <v>1015</v>
      </c>
      <c r="E467" s="407"/>
      <c r="F467" s="94">
        <v>1</v>
      </c>
      <c r="G467" s="136">
        <f>IF(ISNUMBER(VLOOKUP(LEFT(D467,3),'Material editor'!$D$11:$H$110,'Material editor'!$E$8,0)),VLOOKUP(LEFT(D467,3),'Material editor'!$D$11:$H$110,'Material editor'!$E$8,0),"")</f>
        <v>4.9000000000000002E-2</v>
      </c>
      <c r="H467" s="137">
        <f>IF(ISNUMBER(VLOOKUP(LEFT(D467,3),'Material editor'!$D$11:$H$110,'Material editor'!$F$8,0)),VLOOKUP(LEFT(D467,3),'Material editor'!$D$11:$H$110,'Material editor'!$F$8,0),"")</f>
        <v>20.333333333333332</v>
      </c>
      <c r="I467" s="137">
        <f>IF(ISNUMBER(VLOOKUP(LEFT(D467,3),'Material editor'!$D$11:$H$110,'Material editor'!$G$8,0)),VLOOKUP(LEFT(D467,3),'Material editor'!$D$11:$H$110,'Material editor'!$G$8,0),"")</f>
        <v>-127</v>
      </c>
      <c r="J467" s="137">
        <f>IF(ISNUMBER(VLOOKUP(LEFT(D467,3),'Material editor'!$D$11:$H$110,'Material editor'!$H$8,0)),VLOOKUP(LEFT(D467,3),'Material editor'!$D$11:$H$110,'Material editor'!$H$8,0),"")</f>
        <v>40</v>
      </c>
      <c r="K467" s="418"/>
      <c r="L467" s="407"/>
      <c r="M467" s="94"/>
      <c r="N467" s="136" t="str">
        <f>IF(ISNUMBER(VLOOKUP(LEFT(K467,3),'Material editor'!$D$11:$H$110,'Material editor'!$E$8,0)),VLOOKUP(LEFT(K467,3),'Material editor'!$D$11:$H$110,'Material editor'!$E$8,0),"")</f>
        <v/>
      </c>
      <c r="O467" s="137" t="str">
        <f>IF(ISNUMBER(VLOOKUP(LEFT(K467,3),'Material editor'!$D$11:$H$110,'Material editor'!$F$8,0)),VLOOKUP(LEFT(K467,3),'Material editor'!$D$11:$H$110,'Material editor'!$F$8,0),"")</f>
        <v/>
      </c>
      <c r="P467" s="137" t="str">
        <f>IF(ISNUMBER(VLOOKUP(LEFT(K467,3),'Material editor'!$D$11:$H$110,'Material editor'!$G$8,0)),VLOOKUP(LEFT(K467,3),'Material editor'!$D$11:$H$110,'Material editor'!$G$8,0),"")</f>
        <v/>
      </c>
      <c r="Q467" s="137" t="str">
        <f>IF(ISNUMBER(VLOOKUP(LEFT(K467,3),'Material editor'!$D$11:$H$110,'Material editor'!$H$8,0)),VLOOKUP(LEFT(K467,3),'Material editor'!$D$11:$H$110,'Material editor'!$H$8,0),"")</f>
        <v/>
      </c>
      <c r="R467" s="418"/>
      <c r="S467" s="407"/>
      <c r="T467" s="94"/>
      <c r="U467" s="136" t="str">
        <f>IF(ISNUMBER(VLOOKUP(LEFT(R467,3),'Material editor'!$D$11:$H$110,'Material editor'!$E$8,0)),VLOOKUP(LEFT(R467,3),'Material editor'!$D$11:$H$110,'Material editor'!$E$8,0),"")</f>
        <v/>
      </c>
      <c r="V467" s="137" t="str">
        <f>IF(ISNUMBER(VLOOKUP(LEFT(R467,3),'Material editor'!$D$11:$H$110,'Material editor'!$F$8,0)),VLOOKUP(LEFT(R467,3),'Material editor'!$D$11:$H$110,'Material editor'!$F$8,0),"")</f>
        <v/>
      </c>
      <c r="W467" s="137" t="str">
        <f>IF(ISNUMBER(VLOOKUP(LEFT(R467,3),'Material editor'!$D$11:$H$110,'Material editor'!$G$8,0)),VLOOKUP(LEFT(R467,3),'Material editor'!$D$11:$H$110,'Material editor'!$G$8,0),"")</f>
        <v/>
      </c>
      <c r="X467" s="137" t="str">
        <f>IF(ISNUMBER(VLOOKUP(LEFT(R467,3),'Material editor'!$D$11:$H$110,'Material editor'!$H$8,0)),VLOOKUP(LEFT(R467,3),'Material editor'!$D$11:$H$110,'Material editor'!$H$8,0),"")</f>
        <v/>
      </c>
      <c r="Y467" s="74"/>
      <c r="Z467" s="94">
        <v>10</v>
      </c>
      <c r="AA467" s="8"/>
      <c r="AB467" s="61"/>
      <c r="AC467" s="65"/>
      <c r="AD467" s="65"/>
      <c r="AE467" s="95">
        <f t="shared" si="332"/>
        <v>0.20408163265306123</v>
      </c>
      <c r="AF467" s="95">
        <f t="shared" si="333"/>
        <v>0.20408163265306123</v>
      </c>
      <c r="AG467" s="95">
        <f t="shared" si="334"/>
        <v>0.20408163265306123</v>
      </c>
      <c r="AH467" s="65"/>
      <c r="AI467" s="95">
        <f t="shared" si="335"/>
        <v>4.9000000000000002E-2</v>
      </c>
      <c r="AJ467" s="95">
        <f t="shared" si="336"/>
        <v>4.9000000000000002E-2</v>
      </c>
      <c r="AK467" s="95">
        <f t="shared" si="337"/>
        <v>4.9000000000000002E-2</v>
      </c>
      <c r="AL467" s="65"/>
      <c r="AM467" s="96">
        <f t="shared" ref="AM467:AO467" si="345">AM466</f>
        <v>1</v>
      </c>
      <c r="AN467" s="96">
        <f t="shared" si="345"/>
        <v>0</v>
      </c>
      <c r="AO467" s="96">
        <f t="shared" si="345"/>
        <v>0</v>
      </c>
      <c r="AP467" s="65">
        <f t="shared" si="338"/>
        <v>0.20408163265306123</v>
      </c>
      <c r="AQ467" s="65"/>
      <c r="AR467" s="65"/>
      <c r="AS467" s="66"/>
      <c r="AT467" s="95">
        <f>IF(ISNUMBER(H467),H467*F467*Z467/1000*Balance!$H$13/J467,0)</f>
        <v>0.10166666666666666</v>
      </c>
      <c r="AU467" s="95">
        <f>IF(ISTEXT(K467),IF(ISNUMBER(O467),O467*M467*Z467/1000*Balance!$H$13/Q467,0),AT467)</f>
        <v>0.10166666666666666</v>
      </c>
      <c r="AV467" s="95">
        <f>IF(ISTEXT(R467),IF(ISNUMBER(V467),V467*T467*Z467/1000*Balance!$H$13/X467,0),AT467)</f>
        <v>0.10166666666666666</v>
      </c>
      <c r="AW467" s="66"/>
      <c r="AX467" s="95">
        <f>AT467*AX460</f>
        <v>0.10166666666666666</v>
      </c>
      <c r="AY467" s="95">
        <f>AU467*AY460</f>
        <v>0</v>
      </c>
      <c r="AZ467" s="95">
        <f>AV467*AZ460</f>
        <v>0</v>
      </c>
      <c r="BA467" s="95">
        <f t="shared" si="340"/>
        <v>0.10166666666666666</v>
      </c>
      <c r="BB467" s="66"/>
      <c r="BC467" s="95">
        <f>IF(ISNUMBER(I467),I467*F467*Z467/1000*Balance!$H$13/J467,0)</f>
        <v>-0.63500000000000001</v>
      </c>
      <c r="BD467" s="95">
        <f>IF(ISTEXT(K467),IF(ISNUMBER(P467),P467*M467*Z467/1000*Balance!$H$13/Q467,0),BC467)</f>
        <v>-0.63500000000000001</v>
      </c>
      <c r="BE467" s="95">
        <f>IF(ISTEXT(R467),IF(ISNUMBER(W467),W467*T467*Z467/1000*Balance!$H$13/X467,0),BC467)</f>
        <v>-0.63500000000000001</v>
      </c>
      <c r="BF467" s="66"/>
      <c r="BG467" s="95">
        <f>BC467*BG460</f>
        <v>-0.63500000000000001</v>
      </c>
      <c r="BH467" s="95">
        <f>BD467*BH460</f>
        <v>0</v>
      </c>
      <c r="BI467" s="95">
        <f>BE467*BI460</f>
        <v>0</v>
      </c>
      <c r="BJ467" s="95">
        <f t="shared" si="341"/>
        <v>-0.63500000000000001</v>
      </c>
      <c r="BK467" s="66"/>
      <c r="BL467" s="66"/>
      <c r="BM467" s="66"/>
    </row>
    <row r="468" spans="2:65" outlineLevel="1" x14ac:dyDescent="0.25">
      <c r="B468" s="201"/>
      <c r="C468" s="91"/>
      <c r="D468" s="418" t="s">
        <v>1011</v>
      </c>
      <c r="E468" s="407"/>
      <c r="F468" s="94">
        <v>1</v>
      </c>
      <c r="G468" s="136">
        <f>IF(ISNUMBER(VLOOKUP(LEFT(D468,3),'Material editor'!$D$11:$H$110,'Material editor'!$E$8,0)),VLOOKUP(LEFT(D468,3),'Material editor'!$D$11:$H$110,'Material editor'!$E$8,0),"")</f>
        <v>0.04</v>
      </c>
      <c r="H468" s="137">
        <f>IF(ISNUMBER(VLOOKUP(LEFT(D468,3),'Material editor'!$D$11:$H$110,'Material editor'!$F$8,0)),VLOOKUP(LEFT(D468,3),'Material editor'!$D$11:$H$110,'Material editor'!$F$8,0),"")</f>
        <v>33.878444444444447</v>
      </c>
      <c r="I468" s="137">
        <f>IF(ISNUMBER(VLOOKUP(LEFT(D468,3),'Material editor'!$D$11:$H$110,'Material editor'!$G$8,0)),VLOOKUP(LEFT(D468,3),'Material editor'!$D$11:$H$110,'Material editor'!$G$8,0),"")</f>
        <v>-73.372500000000002</v>
      </c>
      <c r="J468" s="137">
        <f>IF(ISNUMBER(VLOOKUP(LEFT(D468,3),'Material editor'!$D$11:$H$110,'Material editor'!$H$8,0)),VLOOKUP(LEFT(D468,3),'Material editor'!$D$11:$H$110,'Material editor'!$H$8,0),"")</f>
        <v>40</v>
      </c>
      <c r="K468" s="418"/>
      <c r="L468" s="407"/>
      <c r="M468" s="94"/>
      <c r="N468" s="136" t="str">
        <f>IF(ISNUMBER(VLOOKUP(LEFT(K468,3),'Material editor'!$D$11:$H$110,'Material editor'!$E$8,0)),VLOOKUP(LEFT(K468,3),'Material editor'!$D$11:$H$110,'Material editor'!$E$8,0),"")</f>
        <v/>
      </c>
      <c r="O468" s="137" t="str">
        <f>IF(ISNUMBER(VLOOKUP(LEFT(K468,3),'Material editor'!$D$11:$H$110,'Material editor'!$F$8,0)),VLOOKUP(LEFT(K468,3),'Material editor'!$D$11:$H$110,'Material editor'!$F$8,0),"")</f>
        <v/>
      </c>
      <c r="P468" s="137" t="str">
        <f>IF(ISNUMBER(VLOOKUP(LEFT(K468,3),'Material editor'!$D$11:$H$110,'Material editor'!$G$8,0)),VLOOKUP(LEFT(K468,3),'Material editor'!$D$11:$H$110,'Material editor'!$G$8,0),"")</f>
        <v/>
      </c>
      <c r="Q468" s="137" t="str">
        <f>IF(ISNUMBER(VLOOKUP(LEFT(K468,3),'Material editor'!$D$11:$H$110,'Material editor'!$H$8,0)),VLOOKUP(LEFT(K468,3),'Material editor'!$D$11:$H$110,'Material editor'!$H$8,0),"")</f>
        <v/>
      </c>
      <c r="R468" s="418"/>
      <c r="S468" s="407"/>
      <c r="T468" s="94"/>
      <c r="U468" s="136" t="str">
        <f>IF(ISNUMBER(VLOOKUP(LEFT(R468,3),'Material editor'!$D$11:$H$110,'Material editor'!$E$8,0)),VLOOKUP(LEFT(R468,3),'Material editor'!$D$11:$H$110,'Material editor'!$E$8,0),"")</f>
        <v/>
      </c>
      <c r="V468" s="137" t="str">
        <f>IF(ISNUMBER(VLOOKUP(LEFT(R468,3),'Material editor'!$D$11:$H$110,'Material editor'!$F$8,0)),VLOOKUP(LEFT(R468,3),'Material editor'!$D$11:$H$110,'Material editor'!$F$8,0),"")</f>
        <v/>
      </c>
      <c r="W468" s="137" t="str">
        <f>IF(ISNUMBER(VLOOKUP(LEFT(R468,3),'Material editor'!$D$11:$H$110,'Material editor'!$G$8,0)),VLOOKUP(LEFT(R468,3),'Material editor'!$D$11:$H$110,'Material editor'!$G$8,0),"")</f>
        <v/>
      </c>
      <c r="X468" s="137" t="str">
        <f>IF(ISNUMBER(VLOOKUP(LEFT(R468,3),'Material editor'!$D$11:$H$110,'Material editor'!$H$8,0)),VLOOKUP(LEFT(R468,3),'Material editor'!$D$11:$H$110,'Material editor'!$H$8,0),"")</f>
        <v/>
      </c>
      <c r="Y468" s="74"/>
      <c r="Z468" s="94">
        <v>10</v>
      </c>
      <c r="AA468" s="8"/>
      <c r="AB468" s="61"/>
      <c r="AC468" s="65"/>
      <c r="AD468" s="65"/>
      <c r="AE468" s="95">
        <f t="shared" si="332"/>
        <v>0.25</v>
      </c>
      <c r="AF468" s="95">
        <f t="shared" si="333"/>
        <v>0.25</v>
      </c>
      <c r="AG468" s="95">
        <f t="shared" si="334"/>
        <v>0.25</v>
      </c>
      <c r="AH468" s="65"/>
      <c r="AI468" s="95">
        <f t="shared" si="335"/>
        <v>0.04</v>
      </c>
      <c r="AJ468" s="95">
        <f t="shared" si="336"/>
        <v>0.04</v>
      </c>
      <c r="AK468" s="95">
        <f t="shared" si="337"/>
        <v>0.04</v>
      </c>
      <c r="AL468" s="65"/>
      <c r="AM468" s="96">
        <f t="shared" ref="AM468:AO468" si="346">AM467</f>
        <v>1</v>
      </c>
      <c r="AN468" s="96">
        <f t="shared" si="346"/>
        <v>0</v>
      </c>
      <c r="AO468" s="96">
        <f t="shared" si="346"/>
        <v>0</v>
      </c>
      <c r="AP468" s="65">
        <f t="shared" si="338"/>
        <v>0.25</v>
      </c>
      <c r="AQ468" s="65"/>
      <c r="AR468" s="65"/>
      <c r="AS468" s="66"/>
      <c r="AT468" s="95">
        <f>IF(ISNUMBER(H468),H468*F468*Z468/1000*Balance!$H$13/J468,0)</f>
        <v>0.16939222222222225</v>
      </c>
      <c r="AU468" s="95">
        <f>IF(ISTEXT(K468),IF(ISNUMBER(O468),O468*M468*Z468/1000*Balance!$H$13/Q468,0),AT468)</f>
        <v>0.16939222222222225</v>
      </c>
      <c r="AV468" s="95">
        <f>IF(ISTEXT(R468),IF(ISNUMBER(V468),V468*T468*Z468/1000*Balance!$H$13/X468,0),AT468)</f>
        <v>0.16939222222222225</v>
      </c>
      <c r="AW468" s="66"/>
      <c r="AX468" s="95">
        <f>AT468*AX460</f>
        <v>0.16939222222222225</v>
      </c>
      <c r="AY468" s="95">
        <f>AU468*AY460</f>
        <v>0</v>
      </c>
      <c r="AZ468" s="95">
        <f>AV468*AZ460</f>
        <v>0</v>
      </c>
      <c r="BA468" s="95">
        <f t="shared" si="340"/>
        <v>0.16939222222222225</v>
      </c>
      <c r="BB468" s="66"/>
      <c r="BC468" s="95">
        <f>IF(ISNUMBER(I468),I468*F468*Z468/1000*Balance!$H$13/J468,0)</f>
        <v>-0.36686250000000004</v>
      </c>
      <c r="BD468" s="95">
        <f>IF(ISTEXT(K468),IF(ISNUMBER(P468),P468*M468*Z468/1000*Balance!$H$13/Q468,0),BC468)</f>
        <v>-0.36686250000000004</v>
      </c>
      <c r="BE468" s="95">
        <f>IF(ISTEXT(R468),IF(ISNUMBER(W468),W468*T468*Z468/1000*Balance!$H$13/X468,0),BC468)</f>
        <v>-0.36686250000000004</v>
      </c>
      <c r="BF468" s="66"/>
      <c r="BG468" s="95">
        <f>BC468*BG460</f>
        <v>-0.36686250000000004</v>
      </c>
      <c r="BH468" s="95">
        <f>BD468*BH460</f>
        <v>0</v>
      </c>
      <c r="BI468" s="95">
        <f>BE468*BI460</f>
        <v>0</v>
      </c>
      <c r="BJ468" s="95">
        <f t="shared" si="341"/>
        <v>-0.36686250000000004</v>
      </c>
      <c r="BK468" s="66"/>
      <c r="BL468" s="66"/>
      <c r="BM468" s="66"/>
    </row>
    <row r="469" spans="2:65" outlineLevel="1" x14ac:dyDescent="0.25">
      <c r="B469" s="201"/>
      <c r="C469" s="91"/>
      <c r="D469" s="418" t="s">
        <v>1024</v>
      </c>
      <c r="E469" s="407"/>
      <c r="F469" s="94">
        <v>1</v>
      </c>
      <c r="G469" s="136">
        <f>IF(ISNUMBER(VLOOKUP(LEFT(D469,3),'Material editor'!$D$11:$H$110,'Material editor'!$E$8,0)),VLOOKUP(LEFT(D469,3),'Material editor'!$D$11:$H$110,'Material editor'!$E$8,0),"")</f>
        <v>7.0000000000000007E-2</v>
      </c>
      <c r="H469" s="137">
        <f>IF(ISNUMBER(VLOOKUP(LEFT(D469,3),'Material editor'!$D$11:$H$110,'Material editor'!$F$8,0)),VLOOKUP(LEFT(D469,3),'Material editor'!$D$11:$H$110,'Material editor'!$F$8,0),"")</f>
        <v>509.16666666666663</v>
      </c>
      <c r="I469" s="137">
        <f>IF(ISNUMBER(VLOOKUP(LEFT(D469,3),'Material editor'!$D$11:$H$110,'Material editor'!$G$8,0)),VLOOKUP(LEFT(D469,3),'Material editor'!$D$11:$H$110,'Material editor'!$G$8,0),"")</f>
        <v>146</v>
      </c>
      <c r="J469" s="137">
        <f>IF(ISNUMBER(VLOOKUP(LEFT(D469,3),'Material editor'!$D$11:$H$110,'Material editor'!$H$8,0)),VLOOKUP(LEFT(D469,3),'Material editor'!$D$11:$H$110,'Material editor'!$H$8,0),"")</f>
        <v>80</v>
      </c>
      <c r="K469" s="418"/>
      <c r="L469" s="407"/>
      <c r="M469" s="94"/>
      <c r="N469" s="136" t="str">
        <f>IF(ISNUMBER(VLOOKUP(LEFT(K469,3),'Material editor'!$D$11:$H$110,'Material editor'!$E$8,0)),VLOOKUP(LEFT(K469,3),'Material editor'!$D$11:$H$110,'Material editor'!$E$8,0),"")</f>
        <v/>
      </c>
      <c r="O469" s="137" t="str">
        <f>IF(ISNUMBER(VLOOKUP(LEFT(K469,3),'Material editor'!$D$11:$H$110,'Material editor'!$F$8,0)),VLOOKUP(LEFT(K469,3),'Material editor'!$D$11:$H$110,'Material editor'!$F$8,0),"")</f>
        <v/>
      </c>
      <c r="P469" s="137" t="str">
        <f>IF(ISNUMBER(VLOOKUP(LEFT(K469,3),'Material editor'!$D$11:$H$110,'Material editor'!$G$8,0)),VLOOKUP(LEFT(K469,3),'Material editor'!$D$11:$H$110,'Material editor'!$G$8,0),"")</f>
        <v/>
      </c>
      <c r="Q469" s="137" t="str">
        <f>IF(ISNUMBER(VLOOKUP(LEFT(K469,3),'Material editor'!$D$11:$H$110,'Material editor'!$H$8,0)),VLOOKUP(LEFT(K469,3),'Material editor'!$D$11:$H$110,'Material editor'!$H$8,0),"")</f>
        <v/>
      </c>
      <c r="R469" s="418"/>
      <c r="S469" s="407"/>
      <c r="T469" s="94"/>
      <c r="U469" s="136" t="str">
        <f>IF(ISNUMBER(VLOOKUP(LEFT(R469,3),'Material editor'!$D$11:$H$110,'Material editor'!$E$8,0)),VLOOKUP(LEFT(R469,3),'Material editor'!$D$11:$H$110,'Material editor'!$E$8,0),"")</f>
        <v/>
      </c>
      <c r="V469" s="137" t="str">
        <f>IF(ISNUMBER(VLOOKUP(LEFT(R469,3),'Material editor'!$D$11:$H$110,'Material editor'!$F$8,0)),VLOOKUP(LEFT(R469,3),'Material editor'!$D$11:$H$110,'Material editor'!$F$8,0),"")</f>
        <v/>
      </c>
      <c r="W469" s="137" t="str">
        <f>IF(ISNUMBER(VLOOKUP(LEFT(R469,3),'Material editor'!$D$11:$H$110,'Material editor'!$G$8,0)),VLOOKUP(LEFT(R469,3),'Material editor'!$D$11:$H$110,'Material editor'!$G$8,0),"")</f>
        <v/>
      </c>
      <c r="X469" s="137" t="str">
        <f>IF(ISNUMBER(VLOOKUP(LEFT(R469,3),'Material editor'!$D$11:$H$110,'Material editor'!$H$8,0)),VLOOKUP(LEFT(R469,3),'Material editor'!$D$11:$H$110,'Material editor'!$H$8,0),"")</f>
        <v/>
      </c>
      <c r="Y469" s="74"/>
      <c r="Z469" s="94">
        <v>10</v>
      </c>
      <c r="AA469" s="8"/>
      <c r="AB469" s="61"/>
      <c r="AC469" s="65"/>
      <c r="AD469" s="65"/>
      <c r="AE469" s="95">
        <f t="shared" si="332"/>
        <v>0.14285714285714285</v>
      </c>
      <c r="AF469" s="95">
        <f t="shared" si="333"/>
        <v>0.14285714285714285</v>
      </c>
      <c r="AG469" s="95">
        <f t="shared" si="334"/>
        <v>0.14285714285714285</v>
      </c>
      <c r="AH469" s="65"/>
      <c r="AI469" s="95">
        <f>IF(ISNUMBER(G469),G469,0)</f>
        <v>7.0000000000000007E-2</v>
      </c>
      <c r="AJ469" s="95">
        <f t="shared" si="336"/>
        <v>7.0000000000000007E-2</v>
      </c>
      <c r="AK469" s="95">
        <f t="shared" si="337"/>
        <v>7.0000000000000007E-2</v>
      </c>
      <c r="AL469" s="65"/>
      <c r="AM469" s="96">
        <f t="shared" ref="AM469:AO469" si="347">AM468</f>
        <v>1</v>
      </c>
      <c r="AN469" s="96">
        <f t="shared" si="347"/>
        <v>0</v>
      </c>
      <c r="AO469" s="96">
        <f t="shared" si="347"/>
        <v>0</v>
      </c>
      <c r="AP469" s="65">
        <f t="shared" si="338"/>
        <v>0.14285714285714285</v>
      </c>
      <c r="AQ469" s="65"/>
      <c r="AR469" s="65"/>
      <c r="AS469" s="66"/>
      <c r="AT469" s="95">
        <f>IF(ISNUMBER(H469),H469*F469*Z469/1000*Balance!$H$13/J469,0)</f>
        <v>1.2729166666666665</v>
      </c>
      <c r="AU469" s="95">
        <f>IF(ISTEXT(K469),IF(ISNUMBER(O469),O469*M469*Z469/1000*Balance!$H$13/Q469,0),AT469)</f>
        <v>1.2729166666666665</v>
      </c>
      <c r="AV469" s="95">
        <f>IF(ISTEXT(R469),IF(ISNUMBER(V469),V469*T469*Z469/1000*Balance!$H$13/X469,0),AT469)</f>
        <v>1.2729166666666665</v>
      </c>
      <c r="AW469" s="66"/>
      <c r="AX469" s="95">
        <f>AT469*AX460</f>
        <v>1.2729166666666665</v>
      </c>
      <c r="AY469" s="95">
        <f>AU469*AY460</f>
        <v>0</v>
      </c>
      <c r="AZ469" s="95">
        <f>AV469*AZ460</f>
        <v>0</v>
      </c>
      <c r="BA469" s="95">
        <f t="shared" si="340"/>
        <v>1.2729166666666665</v>
      </c>
      <c r="BB469" s="66"/>
      <c r="BC469" s="95">
        <f>IF(ISNUMBER(I469),I469*F469*Z469/1000*Balance!$H$13/J469,0)</f>
        <v>0.36499999999999999</v>
      </c>
      <c r="BD469" s="95">
        <f>IF(ISTEXT(K469),IF(ISNUMBER(P469),P469*M469*Z469/1000*Balance!$H$13/Q469,0),BC469)</f>
        <v>0.36499999999999999</v>
      </c>
      <c r="BE469" s="95">
        <f>IF(ISTEXT(R469),IF(ISNUMBER(W469),W469*T469*Z469/1000*Balance!$H$13/X469,0),BC469)</f>
        <v>0.36499999999999999</v>
      </c>
      <c r="BF469" s="66"/>
      <c r="BG469" s="95">
        <f>BC469*BG460</f>
        <v>0.36499999999999999</v>
      </c>
      <c r="BH469" s="95">
        <f>BD469*BH460</f>
        <v>0</v>
      </c>
      <c r="BI469" s="95">
        <f>BE469*BI460</f>
        <v>0</v>
      </c>
      <c r="BJ469" s="95">
        <f t="shared" si="341"/>
        <v>0.36499999999999999</v>
      </c>
      <c r="BK469" s="66"/>
      <c r="BL469" s="66"/>
      <c r="BM469" s="66"/>
    </row>
    <row r="470" spans="2:65" outlineLevel="1" x14ac:dyDescent="0.25">
      <c r="B470" s="201"/>
      <c r="C470" s="77"/>
      <c r="D470" s="125">
        <f>MAX(0,1-K470-R470)</f>
        <v>1</v>
      </c>
      <c r="E470" s="126" t="s">
        <v>141</v>
      </c>
      <c r="F470" s="126"/>
      <c r="H470" s="97"/>
      <c r="I470" s="97"/>
      <c r="J470" s="97"/>
      <c r="K470" s="100"/>
      <c r="L470" s="126" t="s">
        <v>138</v>
      </c>
      <c r="M470" s="126"/>
      <c r="R470" s="100"/>
      <c r="S470" s="126" t="s">
        <v>139</v>
      </c>
      <c r="T470" s="126"/>
      <c r="V470" s="67"/>
      <c r="Y470" s="74"/>
      <c r="Z470" s="5" t="s">
        <v>140</v>
      </c>
      <c r="AA470" s="8"/>
      <c r="AB470" s="61"/>
      <c r="AC470" s="98"/>
      <c r="AD470" s="98" t="s">
        <v>124</v>
      </c>
      <c r="AE470" s="99">
        <f>IF(ISNUMBER($G462),1/($D457+SUM(AE462:AE469)+$D458),0)</f>
        <v>0.42962061913281907</v>
      </c>
      <c r="AF470" s="99">
        <f>IF(ISNUMBER($G462),1/($D457+SUM(AF462:AF469)+$D458),0)</f>
        <v>0.42962061913281907</v>
      </c>
      <c r="AG470" s="99">
        <f>IF(ISNUMBER($G462),1/($D457+SUM(AG462:AG469)+$D458),0)</f>
        <v>0.42962061913281907</v>
      </c>
      <c r="AH470" s="65"/>
      <c r="AI470" s="65"/>
      <c r="AJ470" s="65"/>
      <c r="AK470" s="65"/>
      <c r="AL470" s="65"/>
      <c r="AM470" s="65"/>
      <c r="AN470" s="65"/>
      <c r="AO470" s="65"/>
      <c r="AP470" s="65"/>
      <c r="AQ470" s="65"/>
      <c r="AR470" s="65"/>
      <c r="AS470" s="66"/>
      <c r="AT470" s="66"/>
      <c r="AU470" s="66"/>
      <c r="AV470" s="66"/>
      <c r="AW470" s="66"/>
      <c r="AX470" s="66"/>
      <c r="AY470" s="66"/>
      <c r="AZ470" s="66"/>
      <c r="BA470" s="66"/>
      <c r="BB470" s="66"/>
      <c r="BC470" s="66"/>
      <c r="BD470" s="66"/>
      <c r="BE470" s="66"/>
      <c r="BF470" s="66"/>
      <c r="BG470" s="66"/>
      <c r="BH470" s="66"/>
      <c r="BI470" s="66"/>
      <c r="BJ470" s="66"/>
      <c r="BK470" s="66"/>
      <c r="BL470" s="66"/>
      <c r="BM470" s="66"/>
    </row>
    <row r="471" spans="2:65" outlineLevel="1" x14ac:dyDescent="0.25">
      <c r="B471" s="201"/>
      <c r="C471" s="77"/>
      <c r="D471" s="41"/>
      <c r="E471" s="116" t="s">
        <v>150</v>
      </c>
      <c r="F471" s="116"/>
      <c r="H471" s="68"/>
      <c r="I471" s="68"/>
      <c r="J471" s="68"/>
      <c r="K471" s="157" t="str">
        <f>IF(AE477&lt;=0.1,"","Der Fehler der U-Wert-Berechnung liegt möglicherweise über 10 %. Wärmebrückenberechnung?")</f>
        <v/>
      </c>
      <c r="L471" s="68"/>
      <c r="M471" s="68"/>
      <c r="N471" s="68"/>
      <c r="R471" s="5"/>
      <c r="S471" s="5"/>
      <c r="T471" s="5"/>
      <c r="U471" s="68"/>
      <c r="V471" s="68"/>
      <c r="X471" s="68"/>
      <c r="Y471" s="5"/>
      <c r="Z471" s="189">
        <f>IF(ISNUMBER(Z462),SUM(Z462:Z470)/10,"")</f>
        <v>8</v>
      </c>
      <c r="AA471" s="10" t="s">
        <v>8</v>
      </c>
      <c r="AB471" s="61"/>
      <c r="AC471" s="98"/>
      <c r="AD471" s="98" t="s">
        <v>125</v>
      </c>
      <c r="AE471" s="101">
        <f>1-SUM(AF471:AG471)</f>
        <v>1</v>
      </c>
      <c r="AF471" s="102">
        <f>K470</f>
        <v>0</v>
      </c>
      <c r="AG471" s="102">
        <f>R470</f>
        <v>0</v>
      </c>
      <c r="AH471" s="98"/>
      <c r="AI471" s="65"/>
      <c r="AJ471" s="65"/>
      <c r="AK471" s="65"/>
      <c r="AL471" s="65"/>
      <c r="AM471" s="65"/>
      <c r="AN471" s="65"/>
      <c r="AO471" s="65"/>
      <c r="AP471" s="65"/>
      <c r="AQ471" s="65"/>
      <c r="AR471" s="65" t="s">
        <v>393</v>
      </c>
      <c r="AS471" s="148"/>
      <c r="AT471" s="175" t="s">
        <v>393</v>
      </c>
      <c r="AU471" s="65" t="s">
        <v>366</v>
      </c>
      <c r="AV471" s="65" t="s">
        <v>355</v>
      </c>
      <c r="AW471" s="66"/>
      <c r="AX471" s="65" t="s">
        <v>394</v>
      </c>
      <c r="AY471" s="65" t="s">
        <v>356</v>
      </c>
      <c r="AZ471" s="66"/>
      <c r="BA471" s="66"/>
      <c r="BB471" s="66"/>
      <c r="BC471" s="66"/>
      <c r="BD471" s="66"/>
      <c r="BE471" s="66"/>
      <c r="BF471" s="66"/>
      <c r="BG471" s="66"/>
      <c r="BH471" s="66"/>
      <c r="BI471" s="66"/>
      <c r="BJ471" s="66"/>
      <c r="BK471" s="66"/>
      <c r="BL471" s="66"/>
      <c r="BM471" s="66"/>
    </row>
    <row r="472" spans="2:65" outlineLevel="1" x14ac:dyDescent="0.25">
      <c r="B472" s="201"/>
      <c r="C472" s="77"/>
      <c r="D472" s="68"/>
      <c r="E472" s="68"/>
      <c r="F472" s="68"/>
      <c r="G472" s="68"/>
      <c r="H472" s="68"/>
      <c r="I472" s="68"/>
      <c r="J472" s="68"/>
      <c r="K472" s="68"/>
      <c r="L472" s="68"/>
      <c r="M472" s="68"/>
      <c r="N472" s="68"/>
      <c r="O472" s="68"/>
      <c r="P472" s="68"/>
      <c r="Q472" s="68"/>
      <c r="R472" s="68"/>
      <c r="T472" s="68"/>
      <c r="U472" s="68"/>
      <c r="V472" s="68"/>
      <c r="W472" s="68"/>
      <c r="X472" s="68"/>
      <c r="Y472" s="5"/>
      <c r="Z472" s="67"/>
      <c r="AA472" s="8"/>
      <c r="AB472" s="61"/>
      <c r="AC472" s="101"/>
      <c r="AD472" s="101"/>
      <c r="AE472" s="99"/>
      <c r="AF472" s="99"/>
      <c r="AG472" s="99"/>
      <c r="AH472" s="65"/>
      <c r="AI472" s="65"/>
      <c r="AJ472" s="65"/>
      <c r="AK472" s="65"/>
      <c r="AL472" s="65"/>
      <c r="AM472" s="65"/>
      <c r="AN472" s="65"/>
      <c r="AO472" s="65"/>
      <c r="AP472" s="65"/>
      <c r="AQ472" s="65"/>
      <c r="AR472" s="65"/>
      <c r="AS472" s="65"/>
      <c r="AT472" s="101" t="s">
        <v>367</v>
      </c>
      <c r="AU472" s="176">
        <f>Z473*F457*Balance!$H$6</f>
        <v>33.940028911492703</v>
      </c>
      <c r="AV472" s="176">
        <f>AU472*Balance!$H$13</f>
        <v>678.80057822985407</v>
      </c>
      <c r="AW472" s="66"/>
      <c r="AX472" s="66"/>
      <c r="AY472" s="66"/>
      <c r="AZ472" s="66"/>
      <c r="BA472" s="101" t="s">
        <v>351</v>
      </c>
      <c r="BB472" s="66"/>
      <c r="BC472" s="66"/>
      <c r="BD472" s="66"/>
      <c r="BE472" s="66"/>
      <c r="BF472" s="66"/>
      <c r="BG472" s="66"/>
      <c r="BH472" s="66"/>
      <c r="BI472" s="66"/>
      <c r="BJ472" s="66"/>
      <c r="BK472" s="66"/>
      <c r="BL472" s="66"/>
      <c r="BM472" s="66"/>
    </row>
    <row r="473" spans="2:65" ht="18" outlineLevel="1" x14ac:dyDescent="0.35">
      <c r="B473" s="201"/>
      <c r="C473" s="77"/>
      <c r="H473" s="68"/>
      <c r="I473" s="68"/>
      <c r="J473" s="67"/>
      <c r="K473" s="192" t="s">
        <v>397</v>
      </c>
      <c r="L473" s="67"/>
      <c r="M473" s="67"/>
      <c r="N473" s="67"/>
      <c r="O473" s="67"/>
      <c r="P473" s="67"/>
      <c r="Q473" s="67"/>
      <c r="R473" s="14" t="s">
        <v>398</v>
      </c>
      <c r="U473" s="68"/>
      <c r="V473" s="68"/>
      <c r="W473" s="68"/>
      <c r="X473" s="68"/>
      <c r="Y473" s="127" t="s">
        <v>154</v>
      </c>
      <c r="Z473" s="193">
        <f>IF(ISNUMBER(G462),IF(AE477&lt;0.1,1/AE473,1/(AP473*1.1))+D471,"")</f>
        <v>0.42962061913281907</v>
      </c>
      <c r="AA473" s="8" t="s">
        <v>10</v>
      </c>
      <c r="AB473" s="61"/>
      <c r="AC473" s="101"/>
      <c r="AD473" s="101" t="s">
        <v>126</v>
      </c>
      <c r="AE473" s="95">
        <f>IF(ISNUMBER(G462),AVERAGE(AG473,AP473),0)</f>
        <v>2.3276350237064523</v>
      </c>
      <c r="AF473" s="101" t="s">
        <v>127</v>
      </c>
      <c r="AG473" s="95">
        <f>IF(ISNUMBER(G462),1/SUMPRODUCT(AE471:AG471,AE470:AG470),0)</f>
        <v>2.3276350237064523</v>
      </c>
      <c r="AH473" s="65"/>
      <c r="AI473" s="65"/>
      <c r="AJ473" s="65"/>
      <c r="AK473" s="65"/>
      <c r="AL473" s="103"/>
      <c r="AM473" s="65"/>
      <c r="AN473" s="65"/>
      <c r="AO473" s="101" t="s">
        <v>128</v>
      </c>
      <c r="AP473" s="95">
        <f>$D457+SUM(AP462:AP469)+$D458</f>
        <v>2.3276350237064523</v>
      </c>
      <c r="AQ473" s="65"/>
      <c r="AR473" s="65"/>
      <c r="AS473" s="152" t="str">
        <f>Data!$D$4</f>
        <v>Heat pump</v>
      </c>
      <c r="AT473" s="177" t="s">
        <v>374</v>
      </c>
      <c r="AU473" s="179">
        <f>AU472/(Balance!$H$17*Balance!$H$18*Balance!$H$19)*Balance!$H$22</f>
        <v>22.626685940995134</v>
      </c>
      <c r="AV473" s="176">
        <f>AU473*Balance!$H$13</f>
        <v>452.53371881990267</v>
      </c>
      <c r="AW473" s="66"/>
      <c r="AX473" s="186">
        <f ca="1">AU472/(Balance!$H$17*Balance!$H$18*Balance!$H$19)*Balance!$G$22/1000</f>
        <v>4.2739295666324146</v>
      </c>
      <c r="AY473" s="176">
        <f ca="1">AX473*Balance!$H$13</f>
        <v>85.478591332648293</v>
      </c>
      <c r="AZ473" s="101"/>
      <c r="BA473" s="95">
        <f>SUM(BA462:BA469)</f>
        <v>12.833142441882941</v>
      </c>
      <c r="BB473" s="66" t="s">
        <v>355</v>
      </c>
      <c r="BC473" s="66"/>
      <c r="BD473" s="66"/>
      <c r="BE473" s="66"/>
      <c r="BF473" s="66"/>
      <c r="BG473" s="66"/>
      <c r="BH473" s="66"/>
      <c r="BI473" s="101" t="s">
        <v>149</v>
      </c>
      <c r="BJ473" s="95">
        <f>SUM(BJ462:BJ469)</f>
        <v>0.57259359131544718</v>
      </c>
      <c r="BK473" s="66" t="s">
        <v>357</v>
      </c>
      <c r="BL473" s="66"/>
      <c r="BM473" s="66"/>
    </row>
    <row r="474" spans="2:65" ht="15.75" outlineLevel="1" x14ac:dyDescent="0.25">
      <c r="B474" s="201"/>
      <c r="C474" s="77"/>
      <c r="D474" s="155"/>
      <c r="E474" s="188" t="s">
        <v>395</v>
      </c>
      <c r="F474" s="116"/>
      <c r="H474" s="68"/>
      <c r="I474" s="68"/>
      <c r="J474" s="67"/>
      <c r="K474" s="190">
        <f>BA473</f>
        <v>12.833142441882941</v>
      </c>
      <c r="L474" s="128" t="s">
        <v>400</v>
      </c>
      <c r="M474" s="67"/>
      <c r="N474" s="67"/>
      <c r="O474" s="67"/>
      <c r="P474" s="67"/>
      <c r="Q474" s="67"/>
      <c r="R474" s="190">
        <f>BJ473</f>
        <v>0.57259359131544718</v>
      </c>
      <c r="S474" s="128" t="s">
        <v>399</v>
      </c>
      <c r="U474" s="68"/>
      <c r="V474" s="68"/>
      <c r="W474" s="68"/>
      <c r="X474" s="68"/>
      <c r="Y474" s="67"/>
      <c r="Z474" s="67"/>
      <c r="AA474" s="8"/>
      <c r="AB474" s="61"/>
      <c r="AC474" s="101"/>
      <c r="AD474" s="101"/>
      <c r="AE474" s="154"/>
      <c r="AF474" s="101"/>
      <c r="AG474" s="154"/>
      <c r="AH474" s="65"/>
      <c r="AI474" s="65"/>
      <c r="AJ474" s="65"/>
      <c r="AK474" s="65"/>
      <c r="AL474" s="103"/>
      <c r="AM474" s="65"/>
      <c r="AN474" s="65"/>
      <c r="AO474" s="101"/>
      <c r="AP474" s="154"/>
      <c r="AQ474" s="65"/>
      <c r="AR474" s="65"/>
      <c r="AS474" s="152" t="str">
        <f>Data!$D$5</f>
        <v>Direct electric</v>
      </c>
      <c r="AT474" s="177" t="s">
        <v>374</v>
      </c>
      <c r="AU474" s="179">
        <f>AU472/Balance!$H$18*Balance!$H$22</f>
        <v>61.092052040686866</v>
      </c>
      <c r="AV474" s="176">
        <f>AU474*Balance!$H$13</f>
        <v>1221.8410408137374</v>
      </c>
      <c r="AW474" s="66"/>
      <c r="AX474" s="186">
        <f ca="1">AU472/Balance!$H$18*Balance!$G$22/1000</f>
        <v>11.539609829907519</v>
      </c>
      <c r="AY474" s="176">
        <f ca="1">AX474*Balance!$H$13</f>
        <v>230.79219659815038</v>
      </c>
      <c r="AZ474" s="101"/>
      <c r="BA474" s="154"/>
      <c r="BB474" s="66"/>
      <c r="BC474" s="66"/>
      <c r="BD474" s="66"/>
      <c r="BE474" s="66"/>
      <c r="BF474" s="66"/>
      <c r="BG474" s="66"/>
      <c r="BH474" s="66"/>
      <c r="BI474" s="101"/>
      <c r="BJ474" s="154"/>
      <c r="BK474" s="66"/>
      <c r="BL474" s="66"/>
      <c r="BM474" s="66"/>
    </row>
    <row r="475" spans="2:65" ht="15.75" outlineLevel="1" x14ac:dyDescent="0.25">
      <c r="B475" s="201"/>
      <c r="C475" s="77"/>
      <c r="D475" s="155"/>
      <c r="E475" s="188" t="s">
        <v>396</v>
      </c>
      <c r="F475" s="116"/>
      <c r="H475" s="68"/>
      <c r="I475" s="68"/>
      <c r="J475" s="67"/>
      <c r="K475" s="190">
        <f>AV477</f>
        <v>452.53371881990267</v>
      </c>
      <c r="L475" s="128" t="s">
        <v>401</v>
      </c>
      <c r="M475" s="67"/>
      <c r="N475" s="67"/>
      <c r="O475" s="67"/>
      <c r="P475" s="67"/>
      <c r="Q475" s="67"/>
      <c r="R475" s="190">
        <f ca="1">AY477</f>
        <v>85.478591332648293</v>
      </c>
      <c r="S475" s="128" t="s">
        <v>358</v>
      </c>
      <c r="U475" s="68"/>
      <c r="V475" s="68"/>
      <c r="W475" s="68"/>
      <c r="X475" s="68"/>
      <c r="Y475" s="67"/>
      <c r="Z475" s="67"/>
      <c r="AA475" s="8"/>
      <c r="AB475" s="61"/>
      <c r="AC475" s="101"/>
      <c r="AD475" s="101"/>
      <c r="AE475" s="154"/>
      <c r="AF475" s="101"/>
      <c r="AG475" s="154"/>
      <c r="AH475" s="65"/>
      <c r="AI475" s="65"/>
      <c r="AJ475" s="65"/>
      <c r="AK475" s="65"/>
      <c r="AL475" s="103"/>
      <c r="AM475" s="65"/>
      <c r="AN475" s="65"/>
      <c r="AO475" s="101"/>
      <c r="AP475" s="154"/>
      <c r="AQ475" s="65"/>
      <c r="AR475" s="65"/>
      <c r="AS475" s="152" t="str">
        <f>Data!$D$6</f>
        <v>Gas boiler</v>
      </c>
      <c r="AT475" s="177" t="s">
        <v>374</v>
      </c>
      <c r="AU475" s="179">
        <f>AU472/(Balance!$H$18*Balance!$H$19)*Balance!H$23</f>
        <v>65.994500661235818</v>
      </c>
      <c r="AV475" s="176">
        <f>AU475*Balance!$H$13</f>
        <v>1319.8900132247163</v>
      </c>
      <c r="AW475" s="66"/>
      <c r="AX475" s="186">
        <f ca="1">AU472/(Balance!$H$18*Balance!$H$19)*Balance!$G$23/1000</f>
        <v>9.4053386996795236</v>
      </c>
      <c r="AY475" s="176">
        <f ca="1">AX475*Balance!$H$13</f>
        <v>188.10677399359048</v>
      </c>
      <c r="AZ475" s="101"/>
      <c r="BA475" s="154"/>
      <c r="BB475" s="66"/>
      <c r="BC475" s="66"/>
      <c r="BD475" s="66"/>
      <c r="BE475" s="66"/>
      <c r="BF475" s="66"/>
      <c r="BG475" s="66"/>
      <c r="BH475" s="66"/>
      <c r="BI475" s="101"/>
      <c r="BJ475" s="154"/>
      <c r="BK475" s="66"/>
      <c r="BL475" s="66"/>
      <c r="BM475" s="66"/>
    </row>
    <row r="476" spans="2:65" ht="15.75" outlineLevel="1" x14ac:dyDescent="0.25">
      <c r="B476" s="201"/>
      <c r="C476" s="77"/>
      <c r="D476" s="155"/>
      <c r="E476" s="188" t="s">
        <v>352</v>
      </c>
      <c r="F476" s="116"/>
      <c r="H476" s="68"/>
      <c r="I476" s="68"/>
      <c r="J476" s="67"/>
      <c r="K476" s="191">
        <f>K475+K474</f>
        <v>465.36686126178563</v>
      </c>
      <c r="L476" s="128" t="s">
        <v>355</v>
      </c>
      <c r="M476" s="67"/>
      <c r="N476" s="67"/>
      <c r="O476" s="67"/>
      <c r="P476" s="67"/>
      <c r="Q476" s="67"/>
      <c r="R476" s="191">
        <f ca="1">R475+R474</f>
        <v>86.051184923963746</v>
      </c>
      <c r="S476" s="128" t="s">
        <v>358</v>
      </c>
      <c r="T476" s="153"/>
      <c r="U476" s="68"/>
      <c r="V476" s="68"/>
      <c r="W476" s="68"/>
      <c r="X476" s="68"/>
      <c r="Y476" s="67"/>
      <c r="Z476" s="67"/>
      <c r="AA476" s="8"/>
      <c r="AB476" s="61"/>
      <c r="AC476" s="101"/>
      <c r="AD476" s="101"/>
      <c r="AE476" s="154"/>
      <c r="AF476" s="101"/>
      <c r="AG476" s="154"/>
      <c r="AH476" s="65"/>
      <c r="AI476" s="65"/>
      <c r="AJ476" s="65"/>
      <c r="AK476" s="65"/>
      <c r="AL476" s="103"/>
      <c r="AM476" s="65"/>
      <c r="AN476" s="65"/>
      <c r="AO476" s="101"/>
      <c r="AP476" s="154"/>
      <c r="AQ476" s="65"/>
      <c r="AR476" s="65"/>
      <c r="AS476" s="152" t="str">
        <f>Data!$D$7</f>
        <v>Biomass</v>
      </c>
      <c r="AT476" s="177" t="s">
        <v>374</v>
      </c>
      <c r="AU476" s="179">
        <f>AU472/(Balance!$H$18*Balance!$H$19)*Balance!$H$24</f>
        <v>41.482257558491085</v>
      </c>
      <c r="AV476" s="176">
        <f>AU476*Balance!$H$13</f>
        <v>829.6451511698217</v>
      </c>
      <c r="AW476" s="66"/>
      <c r="AX476" s="186">
        <f ca="1">AU472/(Balance!$H$18*Balance!$H$19)*Balance!$G$24/1000</f>
        <v>0.80136179374357774</v>
      </c>
      <c r="AY476" s="176">
        <f ca="1">AX476*Balance!$H$13</f>
        <v>16.027235874871554</v>
      </c>
      <c r="AZ476" s="101"/>
      <c r="BA476" s="154"/>
      <c r="BB476" s="66"/>
      <c r="BC476" s="66"/>
      <c r="BD476" s="66"/>
      <c r="BE476" s="66"/>
      <c r="BF476" s="66"/>
      <c r="BG476" s="66"/>
      <c r="BH476" s="66"/>
      <c r="BI476" s="101"/>
      <c r="BJ476" s="154"/>
      <c r="BK476" s="66"/>
      <c r="BL476" s="66"/>
      <c r="BM476" s="66"/>
    </row>
    <row r="477" spans="2:65" outlineLevel="1" x14ac:dyDescent="0.25">
      <c r="B477" s="201"/>
      <c r="C477" s="104"/>
      <c r="D477" s="105"/>
      <c r="E477" s="106"/>
      <c r="F477" s="106"/>
      <c r="G477" s="106"/>
      <c r="H477" s="107"/>
      <c r="I477" s="107"/>
      <c r="J477" s="107"/>
      <c r="K477" s="106"/>
      <c r="L477" s="106"/>
      <c r="M477" s="106"/>
      <c r="N477" s="106"/>
      <c r="O477" s="106"/>
      <c r="P477" s="106"/>
      <c r="Q477" s="106"/>
      <c r="R477" s="106"/>
      <c r="S477" s="106"/>
      <c r="T477" s="106"/>
      <c r="U477" s="106"/>
      <c r="V477" s="106"/>
      <c r="W477" s="106"/>
      <c r="X477" s="106"/>
      <c r="Y477" s="106"/>
      <c r="Z477" s="108"/>
      <c r="AA477" s="109"/>
      <c r="AB477" s="61"/>
      <c r="AC477" s="101"/>
      <c r="AD477" s="101" t="s">
        <v>129</v>
      </c>
      <c r="AE477" s="110">
        <f>IF(ISNUMBER(G462),(AG473-AP473)/(2*AE473),0)</f>
        <v>0</v>
      </c>
      <c r="AF477" s="111"/>
      <c r="AG477" s="65"/>
      <c r="AH477" s="101"/>
      <c r="AI477" s="65"/>
      <c r="AJ477" s="65"/>
      <c r="AK477" s="65"/>
      <c r="AL477" s="65"/>
      <c r="AM477" s="65"/>
      <c r="AN477" s="65"/>
      <c r="AO477" s="65"/>
      <c r="AP477" s="66"/>
      <c r="AQ477" s="65"/>
      <c r="AR477" s="65"/>
      <c r="AS477" s="178" t="str">
        <f>Balance!$G$16</f>
        <v>Heat pump</v>
      </c>
      <c r="AT477" s="66"/>
      <c r="AU477" s="185">
        <f>VLOOKUP(AS477,AS473:AU476,3,0)</f>
        <v>22.626685940995134</v>
      </c>
      <c r="AV477" s="185">
        <f>VLOOKUP(AS477,AS473:AV476,4,0)</f>
        <v>452.53371881990267</v>
      </c>
      <c r="AW477" s="185"/>
      <c r="AX477" s="187">
        <f ca="1">VLOOKUP(AS477,AS473:AX476,6,0)</f>
        <v>4.2739295666324146</v>
      </c>
      <c r="AY477" s="185">
        <f ca="1">VLOOKUP(AS477,AS473:AY476,7,0)</f>
        <v>85.478591332648293</v>
      </c>
      <c r="AZ477" s="66"/>
      <c r="BA477" s="66"/>
      <c r="BB477" s="66"/>
      <c r="BC477" s="66"/>
      <c r="BD477" s="66"/>
      <c r="BE477" s="66"/>
      <c r="BF477" s="66"/>
      <c r="BG477" s="66"/>
      <c r="BH477" s="66"/>
      <c r="BI477" s="66"/>
      <c r="BJ477" s="66"/>
      <c r="BK477" s="66"/>
      <c r="BL477" s="66"/>
      <c r="BM477" s="66"/>
    </row>
    <row r="478" spans="2:65" outlineLevel="1" x14ac:dyDescent="0.25">
      <c r="B478" s="201"/>
    </row>
    <row r="479" spans="2:65" outlineLevel="1" x14ac:dyDescent="0.25">
      <c r="B479" s="201"/>
      <c r="C479" s="62"/>
      <c r="D479" s="114" t="s">
        <v>131</v>
      </c>
      <c r="E479" s="115" t="s">
        <v>132</v>
      </c>
      <c r="F479" s="115"/>
      <c r="G479" s="63"/>
      <c r="H479" s="63"/>
      <c r="I479" s="63"/>
      <c r="J479" s="63"/>
      <c r="K479" s="63"/>
      <c r="L479" s="63"/>
      <c r="M479" s="63"/>
      <c r="N479" s="63"/>
      <c r="O479" s="63"/>
      <c r="P479" s="63"/>
      <c r="Q479" s="63"/>
      <c r="R479" s="63"/>
      <c r="S479" s="63"/>
      <c r="T479" s="63"/>
      <c r="U479" s="63"/>
      <c r="V479" s="63"/>
      <c r="W479" s="63"/>
      <c r="X479" s="63"/>
      <c r="Y479" s="63"/>
      <c r="Z479" s="63"/>
      <c r="AA479" s="64"/>
      <c r="AB479" s="61"/>
      <c r="AC479" s="65" t="s">
        <v>402</v>
      </c>
      <c r="AD479" s="65"/>
      <c r="AE479" s="65"/>
      <c r="AF479" s="65"/>
      <c r="AG479" s="65"/>
      <c r="AH479" s="65"/>
      <c r="AI479" s="65"/>
      <c r="AJ479" s="65"/>
      <c r="AK479" s="65"/>
      <c r="AL479" s="65"/>
      <c r="AM479" s="65"/>
      <c r="AN479" s="65"/>
      <c r="AO479" s="65"/>
      <c r="AP479" s="65"/>
      <c r="AQ479" s="66"/>
      <c r="AR479" s="65" t="s">
        <v>405</v>
      </c>
      <c r="AS479" s="65"/>
      <c r="AT479" s="65"/>
      <c r="AU479" s="65"/>
      <c r="AV479" s="65"/>
      <c r="AW479" s="65"/>
      <c r="AX479" s="65"/>
      <c r="AY479" s="65"/>
      <c r="AZ479" s="65"/>
      <c r="BA479" s="65"/>
      <c r="BB479" s="65" t="s">
        <v>403</v>
      </c>
      <c r="BC479" s="65"/>
      <c r="BD479" s="65"/>
      <c r="BE479" s="65"/>
      <c r="BF479" s="65"/>
      <c r="BG479" s="65"/>
      <c r="BH479" s="65"/>
      <c r="BI479" s="65"/>
      <c r="BJ479" s="65"/>
      <c r="BK479" s="65"/>
      <c r="BL479" s="65"/>
      <c r="BM479" s="65"/>
    </row>
    <row r="480" spans="2:65" ht="15.75" x14ac:dyDescent="0.25">
      <c r="B480" s="201"/>
      <c r="C480" s="69"/>
      <c r="D480" s="70">
        <v>19</v>
      </c>
      <c r="E480" s="71" t="s">
        <v>413</v>
      </c>
      <c r="F480" s="92"/>
      <c r="G480" s="72"/>
      <c r="H480" s="72"/>
      <c r="I480" s="72"/>
      <c r="J480" s="72"/>
      <c r="K480" s="72"/>
      <c r="L480" s="72"/>
      <c r="M480" s="72"/>
      <c r="N480" s="72"/>
      <c r="O480" s="72"/>
      <c r="P480" s="72"/>
      <c r="Q480" s="72"/>
      <c r="R480" s="72"/>
      <c r="S480" s="72"/>
      <c r="T480" s="72"/>
      <c r="U480" s="72"/>
      <c r="V480" s="72"/>
      <c r="W480" s="72"/>
      <c r="X480" s="72"/>
      <c r="Y480" s="72"/>
      <c r="Z480" s="73"/>
      <c r="AA480" s="75"/>
      <c r="AB480" s="61"/>
      <c r="AC480" s="65"/>
      <c r="AD480" s="65"/>
      <c r="AE480" s="76" t="s">
        <v>114</v>
      </c>
      <c r="AF480" s="65"/>
      <c r="AG480" s="65"/>
      <c r="AH480" s="65"/>
      <c r="AI480" s="65"/>
      <c r="AJ480" s="65"/>
      <c r="AK480" s="65"/>
      <c r="AL480" s="65"/>
      <c r="AM480" s="65"/>
      <c r="AN480" s="65"/>
      <c r="AO480" s="65"/>
      <c r="AP480" s="66"/>
      <c r="AQ480" s="65"/>
      <c r="AR480" s="65" t="s">
        <v>404</v>
      </c>
      <c r="AS480" s="65"/>
      <c r="AT480" s="65"/>
      <c r="AU480" s="65"/>
      <c r="AV480" s="65"/>
      <c r="AW480" s="65"/>
      <c r="AX480" s="65"/>
      <c r="AY480" s="65"/>
      <c r="AZ480" s="65"/>
      <c r="BA480" s="65"/>
      <c r="BB480" s="65" t="s">
        <v>407</v>
      </c>
      <c r="BC480" s="65"/>
      <c r="BD480" s="65"/>
      <c r="BE480" s="65"/>
      <c r="BF480" s="65"/>
      <c r="BG480" s="65"/>
      <c r="BH480" s="65"/>
      <c r="BI480" s="65"/>
      <c r="BJ480" s="65"/>
      <c r="BK480" s="65"/>
      <c r="BL480" s="65"/>
      <c r="BM480" s="65"/>
    </row>
    <row r="481" spans="2:65" outlineLevel="1" x14ac:dyDescent="0.25">
      <c r="B481" s="201"/>
      <c r="C481" s="77"/>
      <c r="D481" s="116" t="s">
        <v>133</v>
      </c>
      <c r="E481" s="78"/>
      <c r="F481" s="78"/>
      <c r="AA481" s="75"/>
      <c r="AB481" s="61"/>
      <c r="AC481" s="65"/>
      <c r="AD481" s="65"/>
      <c r="AE481" s="65"/>
      <c r="AF481" s="65"/>
      <c r="AG481" s="65"/>
      <c r="AH481" s="65"/>
      <c r="AI481" s="65"/>
      <c r="AJ481" s="65"/>
      <c r="AK481" s="65"/>
      <c r="AL481" s="65"/>
      <c r="AM481" s="65"/>
      <c r="AN481" s="65"/>
      <c r="AO481" s="65"/>
      <c r="AP481" s="66"/>
      <c r="AQ481" s="65"/>
      <c r="AR481" s="65"/>
      <c r="AS481" s="65"/>
      <c r="AT481" s="65"/>
      <c r="AU481" s="65"/>
      <c r="AV481" s="65"/>
      <c r="AW481" s="65"/>
      <c r="AX481" s="65"/>
      <c r="AY481" s="65"/>
      <c r="AZ481" s="65"/>
      <c r="BA481" s="65"/>
      <c r="BB481" s="65"/>
      <c r="BC481" s="65"/>
      <c r="BD481" s="65"/>
      <c r="BE481" s="65"/>
      <c r="BF481" s="65"/>
      <c r="BG481" s="65"/>
      <c r="BH481" s="65"/>
      <c r="BI481" s="65"/>
      <c r="BJ481" s="65"/>
      <c r="BK481" s="65"/>
      <c r="BL481" s="65"/>
      <c r="BM481" s="65"/>
    </row>
    <row r="482" spans="2:65" outlineLevel="1" x14ac:dyDescent="0.25">
      <c r="B482" s="201"/>
      <c r="C482" s="77"/>
      <c r="D482" s="79">
        <v>0.13</v>
      </c>
      <c r="E482" s="2" t="s">
        <v>151</v>
      </c>
      <c r="F482" s="138">
        <v>1</v>
      </c>
      <c r="G482" s="61"/>
      <c r="H482" s="74"/>
      <c r="I482" s="74"/>
      <c r="J482" s="74"/>
      <c r="K482" s="2" t="s">
        <v>921</v>
      </c>
      <c r="L482" s="74"/>
      <c r="M482" s="74"/>
      <c r="N482" s="74"/>
      <c r="AA482" s="75"/>
      <c r="AB482" s="61"/>
      <c r="AC482" s="65"/>
      <c r="AD482" s="65"/>
      <c r="AE482" s="65" t="s">
        <v>115</v>
      </c>
      <c r="AF482" s="65"/>
      <c r="AG482" s="65"/>
      <c r="AH482" s="65"/>
      <c r="AI482" s="65" t="s">
        <v>116</v>
      </c>
      <c r="AJ482" s="65"/>
      <c r="AK482" s="65"/>
      <c r="AL482" s="65"/>
      <c r="AM482" s="65"/>
      <c r="AN482" s="65"/>
      <c r="AO482" s="65"/>
      <c r="AP482" s="66"/>
      <c r="AQ482" s="65"/>
      <c r="AR482" s="65"/>
      <c r="AS482" s="65"/>
      <c r="AT482" s="65"/>
      <c r="AU482" s="65"/>
      <c r="AV482" s="65"/>
      <c r="AW482" s="65"/>
      <c r="AX482" s="65"/>
      <c r="AY482" s="65"/>
      <c r="AZ482" s="65"/>
      <c r="BA482" s="65"/>
      <c r="BB482" s="65"/>
      <c r="BC482" s="65"/>
      <c r="BD482" s="65"/>
      <c r="BE482" s="65"/>
      <c r="BF482" s="65"/>
      <c r="BG482" s="65"/>
      <c r="BH482" s="65"/>
      <c r="BI482" s="65"/>
      <c r="BJ482" s="65"/>
      <c r="BK482" s="65"/>
      <c r="BL482" s="65"/>
      <c r="BM482" s="65"/>
    </row>
    <row r="483" spans="2:65" ht="15.75" outlineLevel="1" x14ac:dyDescent="0.25">
      <c r="B483" s="201"/>
      <c r="C483" s="77"/>
      <c r="D483" s="79">
        <v>0.04</v>
      </c>
      <c r="E483" s="2" t="s">
        <v>152</v>
      </c>
      <c r="F483" s="2"/>
      <c r="G483" s="61"/>
      <c r="H483" s="74"/>
      <c r="I483" s="74"/>
      <c r="J483" s="74"/>
      <c r="K483" s="74"/>
      <c r="L483" s="74"/>
      <c r="M483" s="74"/>
      <c r="N483" s="74"/>
      <c r="AA483" s="75"/>
      <c r="AB483" s="61"/>
      <c r="AC483" s="65"/>
      <c r="AD483" s="65"/>
      <c r="AE483" s="80" t="s">
        <v>117</v>
      </c>
      <c r="AF483" s="81"/>
      <c r="AG483" s="81"/>
      <c r="AH483" s="65"/>
      <c r="AI483" s="82" t="s">
        <v>118</v>
      </c>
      <c r="AJ483" s="81"/>
      <c r="AK483" s="81"/>
      <c r="AL483" s="65"/>
      <c r="AM483" s="83" t="s">
        <v>119</v>
      </c>
      <c r="AN483" s="84"/>
      <c r="AO483" s="85"/>
      <c r="AP483" s="65"/>
      <c r="AQ483" s="65"/>
      <c r="AR483" s="65"/>
      <c r="AS483" s="65"/>
      <c r="AT483" s="65"/>
      <c r="AU483" s="65"/>
      <c r="AV483" s="65"/>
      <c r="AW483" s="65"/>
      <c r="AX483" s="65"/>
      <c r="AY483" s="65"/>
      <c r="AZ483" s="65"/>
      <c r="BA483" s="65"/>
      <c r="BB483" s="65"/>
      <c r="BC483" s="65"/>
      <c r="BD483" s="65"/>
      <c r="BE483" s="65"/>
      <c r="BF483" s="65"/>
      <c r="BG483" s="65"/>
      <c r="BH483" s="65"/>
      <c r="BI483" s="65"/>
      <c r="BJ483" s="65"/>
      <c r="BK483" s="65"/>
      <c r="BL483" s="65"/>
      <c r="BM483" s="65"/>
    </row>
    <row r="484" spans="2:65" ht="15.75" outlineLevel="1" x14ac:dyDescent="0.25">
      <c r="B484" s="201"/>
      <c r="C484" s="77"/>
      <c r="D484" s="74"/>
      <c r="E484" s="61"/>
      <c r="F484" s="61"/>
      <c r="G484" s="61"/>
      <c r="H484" s="74"/>
      <c r="I484" s="74"/>
      <c r="J484" s="74"/>
      <c r="K484" s="74"/>
      <c r="L484" s="74"/>
      <c r="M484" s="74"/>
      <c r="N484" s="74"/>
      <c r="O484" s="1"/>
      <c r="P484" s="1"/>
      <c r="Q484" s="1"/>
      <c r="AA484" s="75"/>
      <c r="AB484" s="61"/>
      <c r="AC484" s="65"/>
      <c r="AD484" s="65"/>
      <c r="AE484" s="117"/>
      <c r="AF484" s="117"/>
      <c r="AG484" s="117"/>
      <c r="AH484" s="65"/>
      <c r="AI484" s="118"/>
      <c r="AJ484" s="117"/>
      <c r="AK484" s="117"/>
      <c r="AL484" s="65"/>
      <c r="AM484" s="119"/>
      <c r="AN484" s="119"/>
      <c r="AO484" s="119"/>
      <c r="AP484" s="65"/>
      <c r="AQ484" s="65"/>
      <c r="AR484" s="65"/>
      <c r="AS484" s="65"/>
      <c r="AT484" s="148" t="s">
        <v>351</v>
      </c>
      <c r="AU484" s="65"/>
      <c r="AV484" s="65"/>
      <c r="AW484" s="65"/>
      <c r="AX484" s="148"/>
      <c r="AY484" s="65"/>
      <c r="AZ484" s="65"/>
      <c r="BA484" s="65"/>
      <c r="BB484" s="65"/>
      <c r="BC484" s="148" t="s">
        <v>406</v>
      </c>
      <c r="BD484" s="65"/>
      <c r="BE484" s="65"/>
      <c r="BF484" s="65"/>
      <c r="BG484" s="148"/>
      <c r="BH484" s="65"/>
      <c r="BI484" s="65"/>
      <c r="BJ484" s="65"/>
      <c r="BK484" s="65"/>
      <c r="BL484" s="65"/>
      <c r="BM484" s="65"/>
    </row>
    <row r="485" spans="2:65" ht="22.5" outlineLevel="1" x14ac:dyDescent="0.25">
      <c r="B485" s="201"/>
      <c r="C485" s="77"/>
      <c r="D485" s="121" t="str">
        <f>$D$35</f>
        <v>Area section 1</v>
      </c>
      <c r="E485" s="61"/>
      <c r="F485" s="122" t="str">
        <f>$F$35</f>
        <v>Count?</v>
      </c>
      <c r="G485" s="122" t="str">
        <f>$G$35</f>
        <v>Thermal conductivity</v>
      </c>
      <c r="H485" s="122" t="str">
        <f>$H$35</f>
        <v>Manfacturing energy</v>
      </c>
      <c r="I485" s="122" t="str">
        <f>$I$35</f>
        <v>GWP</v>
      </c>
      <c r="J485" s="122" t="str">
        <f>$J$35</f>
        <v>Service life</v>
      </c>
      <c r="K485" s="121" t="str">
        <f>$K$35</f>
        <v>Area section 2 (optional)</v>
      </c>
      <c r="L485" s="121"/>
      <c r="M485" s="122" t="str">
        <f>$M$35</f>
        <v>Count?</v>
      </c>
      <c r="N485" s="122" t="str">
        <f>$N$35</f>
        <v>Thermal conductivity</v>
      </c>
      <c r="O485" s="122" t="str">
        <f>$O$35</f>
        <v>Manfacturing energy</v>
      </c>
      <c r="P485" s="122" t="str">
        <f>$P$35</f>
        <v>GWP</v>
      </c>
      <c r="Q485" s="122" t="str">
        <f>$Q$35</f>
        <v>Service life</v>
      </c>
      <c r="R485" s="121" t="str">
        <f>$R$35</f>
        <v>Area section 3 (optional)</v>
      </c>
      <c r="S485" s="74"/>
      <c r="T485" s="122" t="str">
        <f>$T$35</f>
        <v>Count?</v>
      </c>
      <c r="U485" s="122" t="str">
        <f>$U$35</f>
        <v>Thermal conductivity</v>
      </c>
      <c r="V485" s="122" t="str">
        <f>$V$35</f>
        <v>Manfacturing energy</v>
      </c>
      <c r="W485" s="122" t="str">
        <f>$W$35</f>
        <v>GWP</v>
      </c>
      <c r="X485" s="122" t="str">
        <f>$X$35</f>
        <v>Service life</v>
      </c>
      <c r="Y485" s="74"/>
      <c r="Z485" s="122" t="str">
        <f>$Z$35</f>
        <v>Thickness</v>
      </c>
      <c r="AA485" s="75"/>
      <c r="AB485" s="61"/>
      <c r="AC485" s="65"/>
      <c r="AD485" s="65"/>
      <c r="AE485" s="86"/>
      <c r="AF485" s="87"/>
      <c r="AG485" s="65"/>
      <c r="AH485" s="65"/>
      <c r="AI485" s="65"/>
      <c r="AJ485" s="65"/>
      <c r="AK485" s="65"/>
      <c r="AL485" s="65"/>
      <c r="AM485" s="65"/>
      <c r="AN485" s="65"/>
      <c r="AO485" s="65"/>
      <c r="AP485" s="65"/>
      <c r="AQ485" s="65"/>
      <c r="AR485" s="65"/>
      <c r="AS485" s="65"/>
      <c r="AT485" s="148"/>
      <c r="AU485" s="65"/>
      <c r="AV485" s="65"/>
      <c r="AW485" s="151" t="s">
        <v>353</v>
      </c>
      <c r="AX485" s="149">
        <f>D495</f>
        <v>1</v>
      </c>
      <c r="AY485" s="150">
        <f>K495</f>
        <v>0</v>
      </c>
      <c r="AZ485" s="150">
        <f>R495</f>
        <v>0</v>
      </c>
      <c r="BA485" s="156">
        <f>SUM(AX485:AZ485)</f>
        <v>1</v>
      </c>
      <c r="BB485" s="65"/>
      <c r="BC485" s="148"/>
      <c r="BD485" s="65"/>
      <c r="BE485" s="65"/>
      <c r="BF485" s="151" t="s">
        <v>353</v>
      </c>
      <c r="BG485" s="149">
        <f>AX485</f>
        <v>1</v>
      </c>
      <c r="BH485" s="149">
        <f t="shared" ref="BH485" si="348">AY485</f>
        <v>0</v>
      </c>
      <c r="BI485" s="149">
        <f t="shared" ref="BI485" si="349">AZ485</f>
        <v>0</v>
      </c>
      <c r="BJ485" s="156">
        <f>SUM(BG485:BI485)</f>
        <v>1</v>
      </c>
      <c r="BK485" s="65"/>
      <c r="BL485" s="65"/>
      <c r="BM485" s="65"/>
    </row>
    <row r="486" spans="2:65" outlineLevel="1" x14ac:dyDescent="0.25">
      <c r="B486" s="201"/>
      <c r="C486" s="77"/>
      <c r="E486" s="61"/>
      <c r="F486" s="120" t="s">
        <v>985</v>
      </c>
      <c r="G486" s="4" t="s">
        <v>135</v>
      </c>
      <c r="H486" s="120" t="s">
        <v>144</v>
      </c>
      <c r="I486" s="120" t="s">
        <v>148</v>
      </c>
      <c r="J486" s="120" t="s">
        <v>146</v>
      </c>
      <c r="K486" s="88"/>
      <c r="L486" s="88"/>
      <c r="M486" s="88"/>
      <c r="N486" s="4" t="s">
        <v>135</v>
      </c>
      <c r="O486" s="120" t="s">
        <v>144</v>
      </c>
      <c r="P486" s="120" t="s">
        <v>148</v>
      </c>
      <c r="Q486" s="120" t="s">
        <v>146</v>
      </c>
      <c r="R486" s="88"/>
      <c r="S486" s="88"/>
      <c r="T486" s="88"/>
      <c r="U486" s="4" t="s">
        <v>135</v>
      </c>
      <c r="V486" s="120" t="s">
        <v>144</v>
      </c>
      <c r="W486" s="120" t="s">
        <v>148</v>
      </c>
      <c r="X486" s="120" t="s">
        <v>146</v>
      </c>
      <c r="Y486" s="74"/>
      <c r="Z486" s="120" t="str">
        <f>$Z$36</f>
        <v>[mm]</v>
      </c>
      <c r="AA486" s="75"/>
      <c r="AB486" s="61"/>
      <c r="AC486" s="65"/>
      <c r="AD486" s="65"/>
      <c r="AE486" s="89" t="s">
        <v>120</v>
      </c>
      <c r="AF486" s="89" t="s">
        <v>121</v>
      </c>
      <c r="AG486" s="89" t="s">
        <v>122</v>
      </c>
      <c r="AH486" s="65"/>
      <c r="AI486" s="89" t="s">
        <v>120</v>
      </c>
      <c r="AJ486" s="89" t="s">
        <v>121</v>
      </c>
      <c r="AK486" s="89" t="s">
        <v>122</v>
      </c>
      <c r="AL486" s="90"/>
      <c r="AM486" s="89" t="s">
        <v>120</v>
      </c>
      <c r="AN486" s="89" t="s">
        <v>121</v>
      </c>
      <c r="AO486" s="89" t="s">
        <v>122</v>
      </c>
      <c r="AP486" s="90" t="s">
        <v>123</v>
      </c>
      <c r="AQ486" s="65"/>
      <c r="AR486" s="65"/>
      <c r="AS486" s="65"/>
      <c r="AT486" s="89" t="s">
        <v>120</v>
      </c>
      <c r="AU486" s="89" t="s">
        <v>121</v>
      </c>
      <c r="AV486" s="89" t="s">
        <v>122</v>
      </c>
      <c r="AW486" s="65"/>
      <c r="AX486" s="89" t="s">
        <v>120</v>
      </c>
      <c r="AY486" s="89" t="s">
        <v>121</v>
      </c>
      <c r="AZ486" s="89" t="s">
        <v>122</v>
      </c>
      <c r="BA486" s="89" t="s">
        <v>354</v>
      </c>
      <c r="BB486" s="65"/>
      <c r="BC486" s="89" t="s">
        <v>120</v>
      </c>
      <c r="BD486" s="89" t="s">
        <v>121</v>
      </c>
      <c r="BE486" s="89" t="s">
        <v>122</v>
      </c>
      <c r="BF486" s="65"/>
      <c r="BG486" s="89" t="s">
        <v>120</v>
      </c>
      <c r="BH486" s="89" t="s">
        <v>121</v>
      </c>
      <c r="BI486" s="89" t="s">
        <v>122</v>
      </c>
      <c r="BJ486" s="89" t="s">
        <v>354</v>
      </c>
      <c r="BK486" s="65"/>
      <c r="BL486" s="65"/>
      <c r="BM486" s="65"/>
    </row>
    <row r="487" spans="2:65" outlineLevel="1" x14ac:dyDescent="0.25">
      <c r="B487" s="201"/>
      <c r="C487" s="91"/>
      <c r="D487" s="418" t="s">
        <v>469</v>
      </c>
      <c r="E487" s="407"/>
      <c r="F487" s="94">
        <v>1</v>
      </c>
      <c r="G487" s="136" t="str">
        <f>IF(ISNUMBER(VLOOKUP(LEFT(D487,3),'Material editor'!$D$11:$H$110,'Material editor'!$E$8,0)),VLOOKUP(LEFT(D487,3),'Material editor'!$D$11:$H$110,'Material editor'!$E$8,0),"")</f>
        <v/>
      </c>
      <c r="H487" s="137">
        <f>IF(ISNUMBER(VLOOKUP(LEFT(D487,3),'Material editor'!$D$11:$H$110,'Material editor'!$F$8,0)),VLOOKUP(LEFT(D487,3),'Material editor'!$D$11:$H$110,'Material editor'!$F$8,0),"")</f>
        <v>50.162105920492614</v>
      </c>
      <c r="I487" s="137">
        <f>IF(ISNUMBER(VLOOKUP(LEFT(D487,3),'Material editor'!$D$11:$H$110,'Material editor'!$G$8,0)),VLOOKUP(LEFT(D487,3),'Material editor'!$D$11:$H$110,'Material editor'!$G$8,0),"")</f>
        <v>11.857576865512472</v>
      </c>
      <c r="J487" s="137">
        <f>IF(ISNUMBER(VLOOKUP(LEFT(D487,3),'Material editor'!$D$11:$H$110,'Material editor'!$H$8,0)),VLOOKUP(LEFT(D487,3),'Material editor'!$D$11:$H$110,'Material editor'!$H$8,0),"")</f>
        <v>40</v>
      </c>
      <c r="K487" s="418"/>
      <c r="L487" s="407"/>
      <c r="M487" s="94"/>
      <c r="N487" s="136" t="str">
        <f>IF(ISNUMBER(VLOOKUP(LEFT(K487,3),'Material editor'!$D$11:$H$110,'Material editor'!$E$8,0)),VLOOKUP(LEFT(K487,3),'Material editor'!$D$11:$H$110,'Material editor'!$E$8,0),"")</f>
        <v/>
      </c>
      <c r="O487" s="137" t="str">
        <f>IF(ISNUMBER(VLOOKUP(LEFT(K487,3),'Material editor'!$D$11:$H$110,'Material editor'!$F$8,0)),VLOOKUP(LEFT(K487,3),'Material editor'!$D$11:$H$110,'Material editor'!$F$8,0),"")</f>
        <v/>
      </c>
      <c r="P487" s="137" t="str">
        <f>IF(ISNUMBER(VLOOKUP(LEFT(K487,3),'Material editor'!$D$11:$H$110,'Material editor'!$G$8,0)),VLOOKUP(LEFT(K487,3),'Material editor'!$D$11:$H$110,'Material editor'!$G$8,0),"")</f>
        <v/>
      </c>
      <c r="Q487" s="137" t="str">
        <f>IF(ISNUMBER(VLOOKUP(LEFT(K487,3),'Material editor'!$D$11:$H$110,'Material editor'!$H$8,0)),VLOOKUP(LEFT(K487,3),'Material editor'!$D$11:$H$110,'Material editor'!$H$8,0),"")</f>
        <v/>
      </c>
      <c r="R487" s="418"/>
      <c r="S487" s="407"/>
      <c r="T487" s="94"/>
      <c r="U487" s="136" t="str">
        <f>IF(ISNUMBER(VLOOKUP(LEFT(R487,3),'Material editor'!$D$11:$H$110,'Material editor'!$E$8,0)),VLOOKUP(LEFT(R487,3),'Material editor'!$D$11:$H$110,'Material editor'!$E$8,0),"")</f>
        <v/>
      </c>
      <c r="V487" s="137" t="str">
        <f>IF(ISNUMBER(VLOOKUP(LEFT(R487,3),'Material editor'!$D$11:$H$110,'Material editor'!$F$8,0)),VLOOKUP(LEFT(R487,3),'Material editor'!$D$11:$H$110,'Material editor'!$F$8,0),"")</f>
        <v/>
      </c>
      <c r="W487" s="137" t="str">
        <f>IF(ISNUMBER(VLOOKUP(LEFT(R487,3),'Material editor'!$D$11:$H$110,'Material editor'!$G$8,0)),VLOOKUP(LEFT(R487,3),'Material editor'!$D$11:$H$110,'Material editor'!$G$8,0),"")</f>
        <v/>
      </c>
      <c r="X487" s="137" t="str">
        <f>IF(ISNUMBER(VLOOKUP(LEFT(R487,3),'Material editor'!$D$11:$H$110,'Material editor'!$H$8,0)),VLOOKUP(LEFT(R487,3),'Material editor'!$D$11:$H$110,'Material editor'!$H$8,0),"")</f>
        <v/>
      </c>
      <c r="Y487" s="74"/>
      <c r="Z487" s="94">
        <v>10</v>
      </c>
      <c r="AA487" s="8"/>
      <c r="AB487" s="61"/>
      <c r="AC487" s="65"/>
      <c r="AD487" s="65"/>
      <c r="AE487" s="95">
        <f t="shared" ref="AE487:AE494" si="350">IF(ISNUMBER(G487),IF(G487&gt;0,$Z487/1000/G487,0),0)</f>
        <v>0</v>
      </c>
      <c r="AF487" s="95">
        <f t="shared" ref="AF487:AF494" si="351">IF(ISNUMBER(N487),IF(N487&gt;0,$Z487/1000/N487,0),$AE487)</f>
        <v>0</v>
      </c>
      <c r="AG487" s="95">
        <f t="shared" ref="AG487:AG494" si="352">IF(ISNUMBER(U487),IF(U487&gt;0,$Z487/1000/U487,0),$AE487)</f>
        <v>0</v>
      </c>
      <c r="AH487" s="65"/>
      <c r="AI487" s="95">
        <f t="shared" ref="AI487:AI493" si="353">IF(ISNUMBER(G487),G487,0)</f>
        <v>0</v>
      </c>
      <c r="AJ487" s="95">
        <f t="shared" ref="AJ487:AJ494" si="354">IF(ISNUMBER(N487),IF(N487&gt;0,N487,0),$AI487)</f>
        <v>0</v>
      </c>
      <c r="AK487" s="95">
        <f t="shared" ref="AK487:AK494" si="355">IF(ISNUMBER(U487),IF(U487&gt;0,U487,0),$AI487)</f>
        <v>0</v>
      </c>
      <c r="AL487" s="65"/>
      <c r="AM487" s="96">
        <f>AE496</f>
        <v>1</v>
      </c>
      <c r="AN487" s="96">
        <f>AF496</f>
        <v>0</v>
      </c>
      <c r="AO487" s="96">
        <f>AG496</f>
        <v>0</v>
      </c>
      <c r="AP487" s="65">
        <f t="shared" ref="AP487:AP494" si="356">IF(AI487&lt;&gt;0,Z487/1000/SUMPRODUCT(AM487:AO487,AI487:AK487),0)</f>
        <v>0</v>
      </c>
      <c r="AQ487" s="65"/>
      <c r="AR487" s="65"/>
      <c r="AS487" s="65"/>
      <c r="AT487" s="95">
        <f>IF(ISNUMBER(H487),H487*F487*Z487/1000*Balance!$H$13/J487,0)</f>
        <v>0.25081052960246308</v>
      </c>
      <c r="AU487" s="95">
        <f>IF(ISTEXT(K487),IF(ISNUMBER(O487),O487*M487*Z487/1000*Balance!$H$13/Q487,0),AT487)</f>
        <v>0.25081052960246308</v>
      </c>
      <c r="AV487" s="95">
        <f>IF(ISTEXT(R487),IF(ISNUMBER(V487),V487*T487*Z487/1000*Balance!$H$13/X487,0),AT487)</f>
        <v>0.25081052960246308</v>
      </c>
      <c r="AW487" s="99"/>
      <c r="AX487" s="95">
        <f>AT487*AX485</f>
        <v>0.25081052960246308</v>
      </c>
      <c r="AY487" s="95">
        <f>AU487*AY485</f>
        <v>0</v>
      </c>
      <c r="AZ487" s="95">
        <f>AV487*AZ485</f>
        <v>0</v>
      </c>
      <c r="BA487" s="95">
        <f>SUM(AX487:AZ487)</f>
        <v>0.25081052960246308</v>
      </c>
      <c r="BB487" s="65"/>
      <c r="BC487" s="95">
        <f>IF(ISNUMBER(I487),I487*F487*Z487/1000*Balance!$H$13/J487,0)</f>
        <v>5.9287884327562358E-2</v>
      </c>
      <c r="BD487" s="95">
        <f>IF(ISTEXT(K487),IF(ISNUMBER(P487),P487*M487*Z487/1000*Balance!$H$13/Q487,0),BC487)</f>
        <v>5.9287884327562358E-2</v>
      </c>
      <c r="BE487" s="95">
        <f>IF(ISTEXT(R487),IF(ISNUMBER(W487),W487*T487*Z487/1000*Balance!$H$13/X487,0),BC487)</f>
        <v>5.9287884327562358E-2</v>
      </c>
      <c r="BF487" s="99"/>
      <c r="BG487" s="95">
        <f>BC487*BG485</f>
        <v>5.9287884327562358E-2</v>
      </c>
      <c r="BH487" s="95">
        <f>BD487*BH485</f>
        <v>0</v>
      </c>
      <c r="BI487" s="95">
        <f>BE487*BI485</f>
        <v>0</v>
      </c>
      <c r="BJ487" s="95">
        <f>SUM(BG487:BI487)</f>
        <v>5.9287884327562358E-2</v>
      </c>
      <c r="BK487" s="65"/>
      <c r="BL487" s="65"/>
      <c r="BM487" s="65"/>
    </row>
    <row r="488" spans="2:65" outlineLevel="1" x14ac:dyDescent="0.25">
      <c r="B488" s="201"/>
      <c r="C488" s="91"/>
      <c r="D488" s="418" t="s">
        <v>1036</v>
      </c>
      <c r="E488" s="407"/>
      <c r="F488" s="94">
        <v>1</v>
      </c>
      <c r="G488" s="136">
        <f>IF(ISNUMBER(VLOOKUP(D488,'Material editor'!$C$11:$H$110,3,0)),VLOOKUP(D488,'Material editor'!$C$11:$H$110,3,0),"")</f>
        <v>3.5000000000000003E-2</v>
      </c>
      <c r="H488" s="137">
        <f>IF(ISNUMBER(VLOOKUP(LEFT(D488,3),'Material editor'!$D$11:$H$110,'Material editor'!$F$8,0)),VLOOKUP(LEFT(D488,3),'Material editor'!$D$11:$H$110,'Material editor'!$F$8,0),"")</f>
        <v>443.12367412490664</v>
      </c>
      <c r="I488" s="137">
        <f>IF(ISNUMBER(VLOOKUP(LEFT(D488,3),'Material editor'!$D$11:$H$110,'Material editor'!$G$8,0)),VLOOKUP(LEFT(D488,3),'Material editor'!$D$11:$H$110,'Material editor'!$G$8,0),"")</f>
        <v>95.088104892065601</v>
      </c>
      <c r="J488" s="137">
        <f>IF(ISNUMBER(VLOOKUP(D488,'Material editor'!$C$11:$H$110,'Material editor'!$H$8,0)),VLOOKUP(D488,'Material editor'!$C$11:$H$110,'Material editor'!$H$8,0),"")</f>
        <v>95.088104892065601</v>
      </c>
      <c r="K488" s="418"/>
      <c r="L488" s="407"/>
      <c r="M488" s="94"/>
      <c r="N488" s="136" t="str">
        <f>IF(ISNUMBER(VLOOKUP(LEFT(K488,3),'Material editor'!$D$11:$H$110,'Material editor'!$E$8,0)),VLOOKUP(LEFT(K488,3),'Material editor'!$D$11:$H$110,'Material editor'!$E$8,0),"")</f>
        <v/>
      </c>
      <c r="O488" s="137" t="str">
        <f>IF(ISNUMBER(VLOOKUP(LEFT(K488,3),'Material editor'!$D$11:$H$110,'Material editor'!$F$8,0)),VLOOKUP(LEFT(K488,3),'Material editor'!$D$11:$H$110,'Material editor'!$F$8,0),"")</f>
        <v/>
      </c>
      <c r="P488" s="137" t="str">
        <f>IF(ISNUMBER(VLOOKUP(LEFT(K488,3),'Material editor'!$D$11:$H$110,'Material editor'!$G$8,0)),VLOOKUP(LEFT(K488,3),'Material editor'!$D$11:$H$110,'Material editor'!$G$8,0),"")</f>
        <v/>
      </c>
      <c r="Q488" s="137" t="str">
        <f>IF(ISNUMBER(VLOOKUP(LEFT(K488,3),'Material editor'!$D$11:$H$110,'Material editor'!$H$8,0)),VLOOKUP(LEFT(K488,3),'Material editor'!$D$11:$H$110,'Material editor'!$H$8,0),"")</f>
        <v/>
      </c>
      <c r="R488" s="418"/>
      <c r="S488" s="407"/>
      <c r="T488" s="94"/>
      <c r="U488" s="136" t="str">
        <f>IF(ISNUMBER(VLOOKUP(LEFT(R488,3),'Material editor'!$D$11:$H$110,'Material editor'!$E$8,0)),VLOOKUP(LEFT(R488,3),'Material editor'!$D$11:$H$110,'Material editor'!$E$8,0),"")</f>
        <v/>
      </c>
      <c r="V488" s="137" t="str">
        <f>IF(ISNUMBER(VLOOKUP(LEFT(R488,3),'Material editor'!$D$11:$H$110,'Material editor'!$F$8,0)),VLOOKUP(LEFT(R488,3),'Material editor'!$D$11:$H$110,'Material editor'!$F$8,0),"")</f>
        <v/>
      </c>
      <c r="W488" s="137" t="str">
        <f>IF(ISNUMBER(VLOOKUP(LEFT(R488,3),'Material editor'!$D$11:$H$110,'Material editor'!$G$8,0)),VLOOKUP(LEFT(R488,3),'Material editor'!$D$11:$H$110,'Material editor'!$G$8,0),"")</f>
        <v/>
      </c>
      <c r="X488" s="137" t="str">
        <f>IF(ISNUMBER(VLOOKUP(LEFT(R488,3),'Material editor'!$D$11:$H$110,'Material editor'!$H$8,0)),VLOOKUP(LEFT(R488,3),'Material editor'!$D$11:$H$110,'Material editor'!$H$8,0),"")</f>
        <v/>
      </c>
      <c r="Y488" s="74"/>
      <c r="Z488" s="94">
        <v>10</v>
      </c>
      <c r="AA488" s="8"/>
      <c r="AB488" s="61"/>
      <c r="AC488" s="65"/>
      <c r="AD488" s="65"/>
      <c r="AE488" s="95">
        <f t="shared" si="350"/>
        <v>0.2857142857142857</v>
      </c>
      <c r="AF488" s="95">
        <f t="shared" si="351"/>
        <v>0.2857142857142857</v>
      </c>
      <c r="AG488" s="95">
        <f t="shared" si="352"/>
        <v>0.2857142857142857</v>
      </c>
      <c r="AH488" s="65"/>
      <c r="AI488" s="95">
        <f t="shared" si="353"/>
        <v>3.5000000000000003E-2</v>
      </c>
      <c r="AJ488" s="95">
        <f t="shared" si="354"/>
        <v>3.5000000000000003E-2</v>
      </c>
      <c r="AK488" s="95">
        <f t="shared" si="355"/>
        <v>3.5000000000000003E-2</v>
      </c>
      <c r="AL488" s="65"/>
      <c r="AM488" s="96">
        <f t="shared" ref="AM488:AO488" si="357">AM487</f>
        <v>1</v>
      </c>
      <c r="AN488" s="96">
        <f t="shared" si="357"/>
        <v>0</v>
      </c>
      <c r="AO488" s="96">
        <f t="shared" si="357"/>
        <v>0</v>
      </c>
      <c r="AP488" s="65">
        <f t="shared" si="356"/>
        <v>0.2857142857142857</v>
      </c>
      <c r="AQ488" s="65"/>
      <c r="AR488" s="65"/>
      <c r="AS488" s="65"/>
      <c r="AT488" s="95">
        <f>IF(ISNUMBER(H488),H488*F488*Z488/1000*Balance!$H$13/J488,0)</f>
        <v>0.93202756460000091</v>
      </c>
      <c r="AU488" s="95">
        <f>IF(ISTEXT(K488),IF(ISNUMBER(O488),O488*M488*Z488/1000*Balance!$H$13/Q488,0),AT488)</f>
        <v>0.93202756460000091</v>
      </c>
      <c r="AV488" s="95">
        <f>IF(ISTEXT(R488),IF(ISNUMBER(V488),V488*T488*Z488/1000*Balance!$H$13/X488,0),AT488)</f>
        <v>0.93202756460000091</v>
      </c>
      <c r="AW488" s="65"/>
      <c r="AX488" s="95">
        <f>AT488*AX485</f>
        <v>0.93202756460000091</v>
      </c>
      <c r="AY488" s="95">
        <f>AU488*AY485</f>
        <v>0</v>
      </c>
      <c r="AZ488" s="95">
        <f>AV488*AZ485</f>
        <v>0</v>
      </c>
      <c r="BA488" s="95">
        <f t="shared" ref="BA488:BA494" si="358">SUM(AX488:AZ488)</f>
        <v>0.93202756460000091</v>
      </c>
      <c r="BB488" s="65"/>
      <c r="BC488" s="95">
        <f>IF(ISNUMBER(I488),I488*F488*Z488/1000*Balance!$H$13/J488,0)</f>
        <v>0.2</v>
      </c>
      <c r="BD488" s="95">
        <f>IF(ISTEXT(K488),IF(ISNUMBER(P488),P488*M488*Z488/1000*Balance!$H$13/Q488,0),BC488)</f>
        <v>0.2</v>
      </c>
      <c r="BE488" s="95">
        <f>IF(ISTEXT(R488),IF(ISNUMBER(W488),W488*T488*Z488/1000*Balance!$H$13/X488,0),BC488)</f>
        <v>0.2</v>
      </c>
      <c r="BF488" s="65"/>
      <c r="BG488" s="95">
        <f>BC488*BG485</f>
        <v>0.2</v>
      </c>
      <c r="BH488" s="95">
        <f>BD488*BH485</f>
        <v>0</v>
      </c>
      <c r="BI488" s="95">
        <f>BE488*BI485</f>
        <v>0</v>
      </c>
      <c r="BJ488" s="95">
        <f t="shared" ref="BJ488:BJ494" si="359">SUM(BG488:BI488)</f>
        <v>0.2</v>
      </c>
      <c r="BK488" s="65"/>
      <c r="BL488" s="65"/>
      <c r="BM488" s="65"/>
    </row>
    <row r="489" spans="2:65" outlineLevel="1" x14ac:dyDescent="0.25">
      <c r="B489" s="201"/>
      <c r="C489" s="91"/>
      <c r="D489" s="418" t="s">
        <v>470</v>
      </c>
      <c r="E489" s="407"/>
      <c r="F489" s="94">
        <v>1</v>
      </c>
      <c r="G489" s="136">
        <f>IF(ISNUMBER(VLOOKUP(LEFT(D489,3),'Material editor'!$D$11:$H$110,'Material editor'!$E$8,0)),VLOOKUP(LEFT(D489,3),'Material editor'!$D$11:$H$110,'Material editor'!$E$8,0),"")</f>
        <v>0.04</v>
      </c>
      <c r="H489" s="137">
        <f>IF(ISNUMBER(VLOOKUP(LEFT(D489,3),'Material editor'!$D$11:$H$110,'Material editor'!$F$8,0)),VLOOKUP(LEFT(D489,3),'Material editor'!$D$11:$H$110,'Material editor'!$F$8,0),"")</f>
        <v>433.33333333333331</v>
      </c>
      <c r="I489" s="137">
        <f>IF(ISNUMBER(VLOOKUP(LEFT(D489,3),'Material editor'!$D$11:$H$110,'Material editor'!$G$8,0)),VLOOKUP(LEFT(D489,3),'Material editor'!$D$11:$H$110,'Material editor'!$G$8,0),"")</f>
        <v>87.3</v>
      </c>
      <c r="J489" s="137">
        <f>IF(ISNUMBER(VLOOKUP(LEFT(D489,3),'Material editor'!$D$11:$H$110,'Material editor'!$H$8,0)),VLOOKUP(LEFT(D489,3),'Material editor'!$D$11:$H$110,'Material editor'!$H$8,0),"")</f>
        <v>40</v>
      </c>
      <c r="K489" s="418"/>
      <c r="L489" s="407"/>
      <c r="M489" s="94"/>
      <c r="N489" s="136" t="str">
        <f>IF(ISNUMBER(VLOOKUP(LEFT(K489,3),'Material editor'!$D$11:$H$110,'Material editor'!$E$8,0)),VLOOKUP(LEFT(K489,3),'Material editor'!$D$11:$H$110,'Material editor'!$E$8,0),"")</f>
        <v/>
      </c>
      <c r="O489" s="137" t="str">
        <f>IF(ISNUMBER(VLOOKUP(LEFT(K489,3),'Material editor'!$D$11:$H$110,'Material editor'!$F$8,0)),VLOOKUP(LEFT(K489,3),'Material editor'!$D$11:$H$110,'Material editor'!$F$8,0),"")</f>
        <v/>
      </c>
      <c r="P489" s="137" t="str">
        <f>IF(ISNUMBER(VLOOKUP(LEFT(K489,3),'Material editor'!$D$11:$H$110,'Material editor'!$G$8,0)),VLOOKUP(LEFT(K489,3),'Material editor'!$D$11:$H$110,'Material editor'!$G$8,0),"")</f>
        <v/>
      </c>
      <c r="Q489" s="137" t="str">
        <f>IF(ISNUMBER(VLOOKUP(LEFT(K489,3),'Material editor'!$D$11:$H$110,'Material editor'!$H$8,0)),VLOOKUP(LEFT(K489,3),'Material editor'!$D$11:$H$110,'Material editor'!$H$8,0),"")</f>
        <v/>
      </c>
      <c r="R489" s="418"/>
      <c r="S489" s="407"/>
      <c r="T489" s="94"/>
      <c r="U489" s="136" t="str">
        <f>IF(ISNUMBER(VLOOKUP(LEFT(R489,3),'Material editor'!$D$11:$H$110,'Material editor'!$E$8,0)),VLOOKUP(LEFT(R489,3),'Material editor'!$D$11:$H$110,'Material editor'!$E$8,0),"")</f>
        <v/>
      </c>
      <c r="V489" s="137" t="str">
        <f>IF(ISNUMBER(VLOOKUP(LEFT(R489,3),'Material editor'!$D$11:$H$110,'Material editor'!$F$8,0)),VLOOKUP(LEFT(R489,3),'Material editor'!$D$11:$H$110,'Material editor'!$F$8,0),"")</f>
        <v/>
      </c>
      <c r="W489" s="137" t="str">
        <f>IF(ISNUMBER(VLOOKUP(LEFT(R489,3),'Material editor'!$D$11:$H$110,'Material editor'!$G$8,0)),VLOOKUP(LEFT(R489,3),'Material editor'!$D$11:$H$110,'Material editor'!$G$8,0),"")</f>
        <v/>
      </c>
      <c r="X489" s="137" t="str">
        <f>IF(ISNUMBER(VLOOKUP(LEFT(R489,3),'Material editor'!$D$11:$H$110,'Material editor'!$H$8,0)),VLOOKUP(LEFT(R489,3),'Material editor'!$D$11:$H$110,'Material editor'!$H$8,0),"")</f>
        <v/>
      </c>
      <c r="Y489" s="74"/>
      <c r="Z489" s="94">
        <v>10</v>
      </c>
      <c r="AA489" s="8"/>
      <c r="AB489" s="61"/>
      <c r="AC489" s="65"/>
      <c r="AD489" s="65"/>
      <c r="AE489" s="95">
        <f t="shared" si="350"/>
        <v>0.25</v>
      </c>
      <c r="AF489" s="95">
        <f t="shared" si="351"/>
        <v>0.25</v>
      </c>
      <c r="AG489" s="95">
        <f t="shared" si="352"/>
        <v>0.25</v>
      </c>
      <c r="AH489" s="65"/>
      <c r="AI489" s="95">
        <f t="shared" si="353"/>
        <v>0.04</v>
      </c>
      <c r="AJ489" s="95">
        <f t="shared" si="354"/>
        <v>0.04</v>
      </c>
      <c r="AK489" s="95">
        <f t="shared" si="355"/>
        <v>0.04</v>
      </c>
      <c r="AL489" s="65"/>
      <c r="AM489" s="96">
        <f t="shared" ref="AM489:AO489" si="360">AM488</f>
        <v>1</v>
      </c>
      <c r="AN489" s="96">
        <f t="shared" si="360"/>
        <v>0</v>
      </c>
      <c r="AO489" s="96">
        <f t="shared" si="360"/>
        <v>0</v>
      </c>
      <c r="AP489" s="65">
        <f t="shared" si="356"/>
        <v>0.25</v>
      </c>
      <c r="AQ489" s="65"/>
      <c r="AR489" s="65"/>
      <c r="AS489" s="65"/>
      <c r="AT489" s="95">
        <f>IF(ISNUMBER(H489),H489*F489*Z489/1000*Balance!$H$13/J489,0)</f>
        <v>2.1666666666666665</v>
      </c>
      <c r="AU489" s="95">
        <f>IF(ISTEXT(K489),IF(ISNUMBER(O489),O489*M489*Z489/1000*Balance!$H$13/Q489,0),AT489)</f>
        <v>2.1666666666666665</v>
      </c>
      <c r="AV489" s="95">
        <f>IF(ISTEXT(R489),IF(ISNUMBER(V489),V489*T489*Z489/1000*Balance!$H$13/X489,0),AT489)</f>
        <v>2.1666666666666665</v>
      </c>
      <c r="AW489" s="65"/>
      <c r="AX489" s="95">
        <f>AT489*AX485</f>
        <v>2.1666666666666665</v>
      </c>
      <c r="AY489" s="95">
        <f>AU489*AY485</f>
        <v>0</v>
      </c>
      <c r="AZ489" s="95">
        <f>AV489*AZ485</f>
        <v>0</v>
      </c>
      <c r="BA489" s="95">
        <f t="shared" si="358"/>
        <v>2.1666666666666665</v>
      </c>
      <c r="BB489" s="65"/>
      <c r="BC489" s="95">
        <f>IF(ISNUMBER(I489),I489*F489*Z489/1000*Balance!$H$13/J489,0)</f>
        <v>0.4365</v>
      </c>
      <c r="BD489" s="95">
        <f>IF(ISTEXT(K489),IF(ISNUMBER(P489),P489*M489*Z489/1000*Balance!$H$13/Q489,0),BC489)</f>
        <v>0.4365</v>
      </c>
      <c r="BE489" s="95">
        <f>IF(ISTEXT(R489),IF(ISNUMBER(W489),W489*T489*Z489/1000*Balance!$H$13/X489,0),BC489)</f>
        <v>0.4365</v>
      </c>
      <c r="BF489" s="65"/>
      <c r="BG489" s="95">
        <f>BC489*BG485</f>
        <v>0.4365</v>
      </c>
      <c r="BH489" s="95">
        <f>BD489*BH485</f>
        <v>0</v>
      </c>
      <c r="BI489" s="95">
        <f>BE489*BI485</f>
        <v>0</v>
      </c>
      <c r="BJ489" s="95">
        <f t="shared" si="359"/>
        <v>0.4365</v>
      </c>
      <c r="BK489" s="65"/>
      <c r="BL489" s="65"/>
      <c r="BM489" s="65"/>
    </row>
    <row r="490" spans="2:65" outlineLevel="1" x14ac:dyDescent="0.25">
      <c r="B490" s="201"/>
      <c r="C490" s="91"/>
      <c r="D490" s="418" t="s">
        <v>1012</v>
      </c>
      <c r="E490" s="407"/>
      <c r="F490" s="94">
        <v>1</v>
      </c>
      <c r="G490" s="136">
        <f>IF(ISNUMBER(VLOOKUP(LEFT(D490,3),'Material editor'!$D$11:$H$110,'Material editor'!$E$8,0)),VLOOKUP(LEFT(D490,3),'Material editor'!$D$11:$H$110,'Material editor'!$E$8,0),"")</f>
        <v>4.4999999999999998E-2</v>
      </c>
      <c r="H490" s="137">
        <f>IF(ISNUMBER(VLOOKUP(LEFT(D490,3),'Material editor'!$D$11:$H$110,'Material editor'!$F$8,0)),VLOOKUP(LEFT(D490,3),'Material editor'!$D$11:$H$110,'Material editor'!$F$8,0),"")</f>
        <v>700.38883783406686</v>
      </c>
      <c r="I490" s="137">
        <f>IF(ISNUMBER(VLOOKUP(LEFT(D490,3),'Material editor'!$D$11:$H$110,'Material editor'!$G$8,0)),VLOOKUP(LEFT(D490,3),'Material editor'!$D$11:$H$110,'Material editor'!$G$8,0),"")</f>
        <v>-153.896768984163</v>
      </c>
      <c r="J490" s="137">
        <f>IF(ISNUMBER(VLOOKUP(LEFT(D490,3),'Material editor'!$D$11:$H$110,'Material editor'!$H$8,0)),VLOOKUP(LEFT(D490,3),'Material editor'!$D$11:$H$110,'Material editor'!$H$8,0),"")</f>
        <v>40</v>
      </c>
      <c r="K490" s="418"/>
      <c r="L490" s="407"/>
      <c r="M490" s="94"/>
      <c r="N490" s="136" t="str">
        <f>IF(ISNUMBER(VLOOKUP(LEFT(K490,3),'Material editor'!$D$11:$H$110,'Material editor'!$E$8,0)),VLOOKUP(LEFT(K490,3),'Material editor'!$D$11:$H$110,'Material editor'!$E$8,0),"")</f>
        <v/>
      </c>
      <c r="O490" s="137" t="str">
        <f>IF(ISNUMBER(VLOOKUP(LEFT(K490,3),'Material editor'!$D$11:$H$110,'Material editor'!$F$8,0)),VLOOKUP(LEFT(K490,3),'Material editor'!$D$11:$H$110,'Material editor'!$F$8,0),"")</f>
        <v/>
      </c>
      <c r="P490" s="137" t="str">
        <f>IF(ISNUMBER(VLOOKUP(LEFT(K490,3),'Material editor'!$D$11:$H$110,'Material editor'!$G$8,0)),VLOOKUP(LEFT(K490,3),'Material editor'!$D$11:$H$110,'Material editor'!$G$8,0),"")</f>
        <v/>
      </c>
      <c r="Q490" s="137" t="str">
        <f>IF(ISNUMBER(VLOOKUP(LEFT(K490,3),'Material editor'!$D$11:$H$110,'Material editor'!$H$8,0)),VLOOKUP(LEFT(K490,3),'Material editor'!$D$11:$H$110,'Material editor'!$H$8,0),"")</f>
        <v/>
      </c>
      <c r="R490" s="418"/>
      <c r="S490" s="407"/>
      <c r="T490" s="94"/>
      <c r="U490" s="136" t="str">
        <f>IF(ISNUMBER(VLOOKUP(LEFT(R490,3),'Material editor'!$D$11:$H$110,'Material editor'!$E$8,0)),VLOOKUP(LEFT(R490,3),'Material editor'!$D$11:$H$110,'Material editor'!$E$8,0),"")</f>
        <v/>
      </c>
      <c r="V490" s="137" t="str">
        <f>IF(ISNUMBER(VLOOKUP(LEFT(R490,3),'Material editor'!$D$11:$H$110,'Material editor'!$F$8,0)),VLOOKUP(LEFT(R490,3),'Material editor'!$D$11:$H$110,'Material editor'!$F$8,0),"")</f>
        <v/>
      </c>
      <c r="W490" s="137" t="str">
        <f>IF(ISNUMBER(VLOOKUP(LEFT(R490,3),'Material editor'!$D$11:$H$110,'Material editor'!$G$8,0)),VLOOKUP(LEFT(R490,3),'Material editor'!$D$11:$H$110,'Material editor'!$G$8,0),"")</f>
        <v/>
      </c>
      <c r="X490" s="137" t="str">
        <f>IF(ISNUMBER(VLOOKUP(LEFT(R490,3),'Material editor'!$D$11:$H$110,'Material editor'!$H$8,0)),VLOOKUP(LEFT(R490,3),'Material editor'!$D$11:$H$110,'Material editor'!$H$8,0),"")</f>
        <v/>
      </c>
      <c r="Y490" s="74"/>
      <c r="Z490" s="94">
        <v>10</v>
      </c>
      <c r="AA490" s="8"/>
      <c r="AB490" s="61"/>
      <c r="AC490" s="65"/>
      <c r="AD490" s="65"/>
      <c r="AE490" s="95">
        <f t="shared" si="350"/>
        <v>0.22222222222222224</v>
      </c>
      <c r="AF490" s="95">
        <f t="shared" si="351"/>
        <v>0.22222222222222224</v>
      </c>
      <c r="AG490" s="95">
        <f t="shared" si="352"/>
        <v>0.22222222222222224</v>
      </c>
      <c r="AH490" s="65"/>
      <c r="AI490" s="95">
        <f t="shared" si="353"/>
        <v>4.4999999999999998E-2</v>
      </c>
      <c r="AJ490" s="95">
        <f t="shared" si="354"/>
        <v>4.4999999999999998E-2</v>
      </c>
      <c r="AK490" s="95">
        <f t="shared" si="355"/>
        <v>4.4999999999999998E-2</v>
      </c>
      <c r="AL490" s="65"/>
      <c r="AM490" s="96">
        <f t="shared" ref="AM490:AO490" si="361">AM489</f>
        <v>1</v>
      </c>
      <c r="AN490" s="96">
        <f t="shared" si="361"/>
        <v>0</v>
      </c>
      <c r="AO490" s="96">
        <f t="shared" si="361"/>
        <v>0</v>
      </c>
      <c r="AP490" s="65">
        <f t="shared" si="356"/>
        <v>0.22222222222222224</v>
      </c>
      <c r="AQ490" s="65"/>
      <c r="AR490" s="65"/>
      <c r="AS490" s="65"/>
      <c r="AT490" s="95">
        <f>IF(ISNUMBER(H490),H490*F490*Z490/1000*Balance!$H$13/J490,0)</f>
        <v>3.5019441891703345</v>
      </c>
      <c r="AU490" s="95">
        <f>IF(ISTEXT(K490),IF(ISNUMBER(O490),O490*M490*Z490/1000*Balance!$H$13/Q490,0),AT490)</f>
        <v>3.5019441891703345</v>
      </c>
      <c r="AV490" s="95">
        <f>IF(ISTEXT(R490),IF(ISNUMBER(V490),V490*T490*Z490/1000*Balance!$H$13/X490,0),AT490)</f>
        <v>3.5019441891703345</v>
      </c>
      <c r="AW490" s="65"/>
      <c r="AX490" s="95">
        <f>AT490*AX485</f>
        <v>3.5019441891703345</v>
      </c>
      <c r="AY490" s="95">
        <f>AU490*AY485</f>
        <v>0</v>
      </c>
      <c r="AZ490" s="95">
        <f>AV490*AZ485</f>
        <v>0</v>
      </c>
      <c r="BA490" s="95">
        <f t="shared" si="358"/>
        <v>3.5019441891703345</v>
      </c>
      <c r="BB490" s="65"/>
      <c r="BC490" s="95">
        <f>IF(ISNUMBER(I490),I490*F490*Z490/1000*Balance!$H$13/J490,0)</f>
        <v>-0.76948384492081501</v>
      </c>
      <c r="BD490" s="95">
        <f>IF(ISTEXT(K490),IF(ISNUMBER(P490),P490*M490*Z490/1000*Balance!$H$13/Q490,0),BC490)</f>
        <v>-0.76948384492081501</v>
      </c>
      <c r="BE490" s="95">
        <f>IF(ISTEXT(R490),IF(ISNUMBER(W490),W490*T490*Z490/1000*Balance!$H$13/X490,0),BC490)</f>
        <v>-0.76948384492081501</v>
      </c>
      <c r="BF490" s="65"/>
      <c r="BG490" s="95">
        <f>BC490*BG485</f>
        <v>-0.76948384492081501</v>
      </c>
      <c r="BH490" s="95">
        <f>BD490*BH485</f>
        <v>0</v>
      </c>
      <c r="BI490" s="95">
        <f>BE490*BI485</f>
        <v>0</v>
      </c>
      <c r="BJ490" s="95">
        <f t="shared" si="359"/>
        <v>-0.76948384492081501</v>
      </c>
      <c r="BK490" s="65"/>
      <c r="BL490" s="65"/>
      <c r="BM490" s="65"/>
    </row>
    <row r="491" spans="2:65" outlineLevel="1" x14ac:dyDescent="0.25">
      <c r="B491" s="201"/>
      <c r="C491" s="91"/>
      <c r="D491" s="418" t="s">
        <v>1016</v>
      </c>
      <c r="E491" s="407"/>
      <c r="F491" s="94">
        <v>1</v>
      </c>
      <c r="G491" s="136">
        <f>IF(ISNUMBER(VLOOKUP(LEFT(D491,3),'Material editor'!$D$11:$H$110,'Material editor'!$E$8,0)),VLOOKUP(LEFT(D491,3),'Material editor'!$D$11:$H$110,'Material editor'!$E$8,0),"")</f>
        <v>2.1999999999999999E-2</v>
      </c>
      <c r="H491" s="137">
        <f>IF(ISNUMBER(VLOOKUP(LEFT(D491,3),'Material editor'!$D$11:$H$110,'Material editor'!$F$8,0)),VLOOKUP(LEFT(D491,3),'Material editor'!$D$11:$H$110,'Material editor'!$F$8,0),"")</f>
        <v>467.31373173526583</v>
      </c>
      <c r="I491" s="137">
        <f>IF(ISNUMBER(VLOOKUP(LEFT(D491,3),'Material editor'!$D$11:$H$110,'Material editor'!$G$8,0)),VLOOKUP(LEFT(D491,3),'Material editor'!$D$11:$H$110,'Material editor'!$G$8,0),"")</f>
        <v>91.918585561511307</v>
      </c>
      <c r="J491" s="137">
        <f>IF(ISNUMBER(VLOOKUP(LEFT(D491,3),'Material editor'!$D$11:$H$110,'Material editor'!$H$8,0)),VLOOKUP(LEFT(D491,3),'Material editor'!$D$11:$H$110,'Material editor'!$H$8,0),"")</f>
        <v>40</v>
      </c>
      <c r="K491" s="418"/>
      <c r="L491" s="407"/>
      <c r="M491" s="94"/>
      <c r="N491" s="136" t="str">
        <f>IF(ISNUMBER(VLOOKUP(LEFT(K491,3),'Material editor'!$D$11:$H$110,'Material editor'!$E$8,0)),VLOOKUP(LEFT(K491,3),'Material editor'!$D$11:$H$110,'Material editor'!$E$8,0),"")</f>
        <v/>
      </c>
      <c r="O491" s="137" t="str">
        <f>IF(ISNUMBER(VLOOKUP(LEFT(K491,3),'Material editor'!$D$11:$H$110,'Material editor'!$F$8,0)),VLOOKUP(LEFT(K491,3),'Material editor'!$D$11:$H$110,'Material editor'!$F$8,0),"")</f>
        <v/>
      </c>
      <c r="P491" s="137" t="str">
        <f>IF(ISNUMBER(VLOOKUP(LEFT(K491,3),'Material editor'!$D$11:$H$110,'Material editor'!$G$8,0)),VLOOKUP(LEFT(K491,3),'Material editor'!$D$11:$H$110,'Material editor'!$G$8,0),"")</f>
        <v/>
      </c>
      <c r="Q491" s="137" t="str">
        <f>IF(ISNUMBER(VLOOKUP(LEFT(K491,3),'Material editor'!$D$11:$H$110,'Material editor'!$H$8,0)),VLOOKUP(LEFT(K491,3),'Material editor'!$D$11:$H$110,'Material editor'!$H$8,0),"")</f>
        <v/>
      </c>
      <c r="R491" s="418"/>
      <c r="S491" s="407"/>
      <c r="T491" s="94"/>
      <c r="U491" s="136" t="str">
        <f>IF(ISNUMBER(VLOOKUP(LEFT(R491,3),'Material editor'!$D$11:$H$110,'Material editor'!$E$8,0)),VLOOKUP(LEFT(R491,3),'Material editor'!$D$11:$H$110,'Material editor'!$E$8,0),"")</f>
        <v/>
      </c>
      <c r="V491" s="137" t="str">
        <f>IF(ISNUMBER(VLOOKUP(LEFT(R491,3),'Material editor'!$D$11:$H$110,'Material editor'!$F$8,0)),VLOOKUP(LEFT(R491,3),'Material editor'!$D$11:$H$110,'Material editor'!$F$8,0),"")</f>
        <v/>
      </c>
      <c r="W491" s="137" t="str">
        <f>IF(ISNUMBER(VLOOKUP(LEFT(R491,3),'Material editor'!$D$11:$H$110,'Material editor'!$G$8,0)),VLOOKUP(LEFT(R491,3),'Material editor'!$D$11:$H$110,'Material editor'!$G$8,0),"")</f>
        <v/>
      </c>
      <c r="X491" s="137" t="str">
        <f>IF(ISNUMBER(VLOOKUP(LEFT(R491,3),'Material editor'!$D$11:$H$110,'Material editor'!$H$8,0)),VLOOKUP(LEFT(R491,3),'Material editor'!$D$11:$H$110,'Material editor'!$H$8,0),"")</f>
        <v/>
      </c>
      <c r="Y491" s="74"/>
      <c r="Z491" s="94">
        <v>10</v>
      </c>
      <c r="AA491" s="8"/>
      <c r="AB491" s="61"/>
      <c r="AC491" s="65"/>
      <c r="AD491" s="65"/>
      <c r="AE491" s="95">
        <f t="shared" si="350"/>
        <v>0.45454545454545459</v>
      </c>
      <c r="AF491" s="95">
        <f t="shared" si="351"/>
        <v>0.45454545454545459</v>
      </c>
      <c r="AG491" s="95">
        <f t="shared" si="352"/>
        <v>0.45454545454545459</v>
      </c>
      <c r="AH491" s="65"/>
      <c r="AI491" s="95">
        <f t="shared" si="353"/>
        <v>2.1999999999999999E-2</v>
      </c>
      <c r="AJ491" s="95">
        <f t="shared" si="354"/>
        <v>2.1999999999999999E-2</v>
      </c>
      <c r="AK491" s="95">
        <f t="shared" si="355"/>
        <v>2.1999999999999999E-2</v>
      </c>
      <c r="AL491" s="65"/>
      <c r="AM491" s="96">
        <f t="shared" ref="AM491:AO491" si="362">AM490</f>
        <v>1</v>
      </c>
      <c r="AN491" s="96">
        <f t="shared" si="362"/>
        <v>0</v>
      </c>
      <c r="AO491" s="96">
        <f t="shared" si="362"/>
        <v>0</v>
      </c>
      <c r="AP491" s="65">
        <f t="shared" si="356"/>
        <v>0.45454545454545459</v>
      </c>
      <c r="AQ491" s="65"/>
      <c r="AR491" s="65"/>
      <c r="AS491" s="65"/>
      <c r="AT491" s="95">
        <f>IF(ISNUMBER(H491),H491*F491*Z491/1000*Balance!$H$13/J491,0)</f>
        <v>2.3365686586763292</v>
      </c>
      <c r="AU491" s="95">
        <f>IF(ISTEXT(K491),IF(ISNUMBER(O491),O491*M491*Z491/1000*Balance!$H$13/Q491,0),AT491)</f>
        <v>2.3365686586763292</v>
      </c>
      <c r="AV491" s="95">
        <f>IF(ISTEXT(R491),IF(ISNUMBER(V491),V491*T491*Z491/1000*Balance!$H$13/X491,0),AT491)</f>
        <v>2.3365686586763292</v>
      </c>
      <c r="AW491" s="65"/>
      <c r="AX491" s="95">
        <f>AT491*AX485</f>
        <v>2.3365686586763292</v>
      </c>
      <c r="AY491" s="95">
        <f>AU491*AY485</f>
        <v>0</v>
      </c>
      <c r="AZ491" s="95">
        <f>AV491*AZ485</f>
        <v>0</v>
      </c>
      <c r="BA491" s="95">
        <f t="shared" si="358"/>
        <v>2.3365686586763292</v>
      </c>
      <c r="BB491" s="65"/>
      <c r="BC491" s="95">
        <f>IF(ISNUMBER(I491),I491*F491*Z491/1000*Balance!$H$13/J491,0)</f>
        <v>0.45959292780755651</v>
      </c>
      <c r="BD491" s="95">
        <f>IF(ISTEXT(K491),IF(ISNUMBER(P491),P491*M491*Z491/1000*Balance!$H$13/Q491,0),BC491)</f>
        <v>0.45959292780755651</v>
      </c>
      <c r="BE491" s="95">
        <f>IF(ISTEXT(R491),IF(ISNUMBER(W491),W491*T491*Z491/1000*Balance!$H$13/X491,0),BC491)</f>
        <v>0.45959292780755651</v>
      </c>
      <c r="BF491" s="65"/>
      <c r="BG491" s="95">
        <f>BC491*BG485</f>
        <v>0.45959292780755651</v>
      </c>
      <c r="BH491" s="95">
        <f>BD491*BH485</f>
        <v>0</v>
      </c>
      <c r="BI491" s="95">
        <f>BE491*BI485</f>
        <v>0</v>
      </c>
      <c r="BJ491" s="95">
        <f t="shared" si="359"/>
        <v>0.45959292780755651</v>
      </c>
      <c r="BK491" s="65"/>
      <c r="BL491" s="65"/>
      <c r="BM491" s="65"/>
    </row>
    <row r="492" spans="2:65" outlineLevel="1" x14ac:dyDescent="0.25">
      <c r="B492" s="201"/>
      <c r="C492" s="91"/>
      <c r="D492" s="418" t="s">
        <v>1015</v>
      </c>
      <c r="E492" s="407"/>
      <c r="F492" s="94">
        <v>1</v>
      </c>
      <c r="G492" s="136">
        <f>IF(ISNUMBER(VLOOKUP(LEFT(D492,3),'Material editor'!$D$11:$H$110,'Material editor'!$E$8,0)),VLOOKUP(LEFT(D492,3),'Material editor'!$D$11:$H$110,'Material editor'!$E$8,0),"")</f>
        <v>4.9000000000000002E-2</v>
      </c>
      <c r="H492" s="137">
        <f>IF(ISNUMBER(VLOOKUP(LEFT(D492,3),'Material editor'!$D$11:$H$110,'Material editor'!$F$8,0)),VLOOKUP(LEFT(D492,3),'Material editor'!$D$11:$H$110,'Material editor'!$F$8,0),"")</f>
        <v>20.333333333333332</v>
      </c>
      <c r="I492" s="137">
        <f>IF(ISNUMBER(VLOOKUP(LEFT(D492,3),'Material editor'!$D$11:$H$110,'Material editor'!$G$8,0)),VLOOKUP(LEFT(D492,3),'Material editor'!$D$11:$H$110,'Material editor'!$G$8,0),"")</f>
        <v>-127</v>
      </c>
      <c r="J492" s="137">
        <f>IF(ISNUMBER(VLOOKUP(LEFT(D492,3),'Material editor'!$D$11:$H$110,'Material editor'!$H$8,0)),VLOOKUP(LEFT(D492,3),'Material editor'!$D$11:$H$110,'Material editor'!$H$8,0),"")</f>
        <v>40</v>
      </c>
      <c r="K492" s="418"/>
      <c r="L492" s="407"/>
      <c r="M492" s="94"/>
      <c r="N492" s="136" t="str">
        <f>IF(ISNUMBER(VLOOKUP(LEFT(K492,3),'Material editor'!$D$11:$H$110,'Material editor'!$E$8,0)),VLOOKUP(LEFT(K492,3),'Material editor'!$D$11:$H$110,'Material editor'!$E$8,0),"")</f>
        <v/>
      </c>
      <c r="O492" s="137" t="str">
        <f>IF(ISNUMBER(VLOOKUP(LEFT(K492,3),'Material editor'!$D$11:$H$110,'Material editor'!$F$8,0)),VLOOKUP(LEFT(K492,3),'Material editor'!$D$11:$H$110,'Material editor'!$F$8,0),"")</f>
        <v/>
      </c>
      <c r="P492" s="137" t="str">
        <f>IF(ISNUMBER(VLOOKUP(LEFT(K492,3),'Material editor'!$D$11:$H$110,'Material editor'!$G$8,0)),VLOOKUP(LEFT(K492,3),'Material editor'!$D$11:$H$110,'Material editor'!$G$8,0),"")</f>
        <v/>
      </c>
      <c r="Q492" s="137" t="str">
        <f>IF(ISNUMBER(VLOOKUP(LEFT(K492,3),'Material editor'!$D$11:$H$110,'Material editor'!$H$8,0)),VLOOKUP(LEFT(K492,3),'Material editor'!$D$11:$H$110,'Material editor'!$H$8,0),"")</f>
        <v/>
      </c>
      <c r="R492" s="418"/>
      <c r="S492" s="407"/>
      <c r="T492" s="94"/>
      <c r="U492" s="136" t="str">
        <f>IF(ISNUMBER(VLOOKUP(LEFT(R492,3),'Material editor'!$D$11:$H$110,'Material editor'!$E$8,0)),VLOOKUP(LEFT(R492,3),'Material editor'!$D$11:$H$110,'Material editor'!$E$8,0),"")</f>
        <v/>
      </c>
      <c r="V492" s="137" t="str">
        <f>IF(ISNUMBER(VLOOKUP(LEFT(R492,3),'Material editor'!$D$11:$H$110,'Material editor'!$F$8,0)),VLOOKUP(LEFT(R492,3),'Material editor'!$D$11:$H$110,'Material editor'!$F$8,0),"")</f>
        <v/>
      </c>
      <c r="W492" s="137" t="str">
        <f>IF(ISNUMBER(VLOOKUP(LEFT(R492,3),'Material editor'!$D$11:$H$110,'Material editor'!$G$8,0)),VLOOKUP(LEFT(R492,3),'Material editor'!$D$11:$H$110,'Material editor'!$G$8,0),"")</f>
        <v/>
      </c>
      <c r="X492" s="137" t="str">
        <f>IF(ISNUMBER(VLOOKUP(LEFT(R492,3),'Material editor'!$D$11:$H$110,'Material editor'!$H$8,0)),VLOOKUP(LEFT(R492,3),'Material editor'!$D$11:$H$110,'Material editor'!$H$8,0),"")</f>
        <v/>
      </c>
      <c r="Y492" s="74"/>
      <c r="Z492" s="94">
        <v>10</v>
      </c>
      <c r="AA492" s="8"/>
      <c r="AB492" s="61"/>
      <c r="AC492" s="65"/>
      <c r="AD492" s="65"/>
      <c r="AE492" s="95">
        <f t="shared" si="350"/>
        <v>0.20408163265306123</v>
      </c>
      <c r="AF492" s="95">
        <f t="shared" si="351"/>
        <v>0.20408163265306123</v>
      </c>
      <c r="AG492" s="95">
        <f t="shared" si="352"/>
        <v>0.20408163265306123</v>
      </c>
      <c r="AH492" s="65"/>
      <c r="AI492" s="95">
        <f t="shared" si="353"/>
        <v>4.9000000000000002E-2</v>
      </c>
      <c r="AJ492" s="95">
        <f t="shared" si="354"/>
        <v>4.9000000000000002E-2</v>
      </c>
      <c r="AK492" s="95">
        <f t="shared" si="355"/>
        <v>4.9000000000000002E-2</v>
      </c>
      <c r="AL492" s="65"/>
      <c r="AM492" s="96">
        <f t="shared" ref="AM492:AO492" si="363">AM491</f>
        <v>1</v>
      </c>
      <c r="AN492" s="96">
        <f t="shared" si="363"/>
        <v>0</v>
      </c>
      <c r="AO492" s="96">
        <f t="shared" si="363"/>
        <v>0</v>
      </c>
      <c r="AP492" s="65">
        <f t="shared" si="356"/>
        <v>0.20408163265306123</v>
      </c>
      <c r="AQ492" s="65"/>
      <c r="AR492" s="65"/>
      <c r="AS492" s="66"/>
      <c r="AT492" s="95">
        <f>IF(ISNUMBER(H492),H492*F492*Z492/1000*Balance!$H$13/J492,0)</f>
        <v>0.10166666666666666</v>
      </c>
      <c r="AU492" s="95">
        <f>IF(ISTEXT(K492),IF(ISNUMBER(O492),O492*M492*Z492/1000*Balance!$H$13/Q492,0),AT492)</f>
        <v>0.10166666666666666</v>
      </c>
      <c r="AV492" s="95">
        <f>IF(ISTEXT(R492),IF(ISNUMBER(V492),V492*T492*Z492/1000*Balance!$H$13/X492,0),AT492)</f>
        <v>0.10166666666666666</v>
      </c>
      <c r="AW492" s="66"/>
      <c r="AX492" s="95">
        <f>AT492*AX485</f>
        <v>0.10166666666666666</v>
      </c>
      <c r="AY492" s="95">
        <f>AU492*AY485</f>
        <v>0</v>
      </c>
      <c r="AZ492" s="95">
        <f>AV492*AZ485</f>
        <v>0</v>
      </c>
      <c r="BA492" s="95">
        <f t="shared" si="358"/>
        <v>0.10166666666666666</v>
      </c>
      <c r="BB492" s="66"/>
      <c r="BC492" s="95">
        <f>IF(ISNUMBER(I492),I492*F492*Z492/1000*Balance!$H$13/J492,0)</f>
        <v>-0.63500000000000001</v>
      </c>
      <c r="BD492" s="95">
        <f>IF(ISTEXT(K492),IF(ISNUMBER(P492),P492*M492*Z492/1000*Balance!$H$13/Q492,0),BC492)</f>
        <v>-0.63500000000000001</v>
      </c>
      <c r="BE492" s="95">
        <f>IF(ISTEXT(R492),IF(ISNUMBER(W492),W492*T492*Z492/1000*Balance!$H$13/X492,0),BC492)</f>
        <v>-0.63500000000000001</v>
      </c>
      <c r="BF492" s="66"/>
      <c r="BG492" s="95">
        <f>BC492*BG485</f>
        <v>-0.63500000000000001</v>
      </c>
      <c r="BH492" s="95">
        <f>BD492*BH485</f>
        <v>0</v>
      </c>
      <c r="BI492" s="95">
        <f>BE492*BI485</f>
        <v>0</v>
      </c>
      <c r="BJ492" s="95">
        <f t="shared" si="359"/>
        <v>-0.63500000000000001</v>
      </c>
      <c r="BK492" s="66"/>
      <c r="BL492" s="66"/>
      <c r="BM492" s="66"/>
    </row>
    <row r="493" spans="2:65" outlineLevel="1" x14ac:dyDescent="0.25">
      <c r="B493" s="201"/>
      <c r="C493" s="91"/>
      <c r="D493" s="418" t="s">
        <v>1011</v>
      </c>
      <c r="E493" s="407"/>
      <c r="F493" s="94">
        <v>1</v>
      </c>
      <c r="G493" s="136">
        <f>IF(ISNUMBER(VLOOKUP(LEFT(D493,3),'Material editor'!$D$11:$H$110,'Material editor'!$E$8,0)),VLOOKUP(LEFT(D493,3),'Material editor'!$D$11:$H$110,'Material editor'!$E$8,0),"")</f>
        <v>0.04</v>
      </c>
      <c r="H493" s="137">
        <f>IF(ISNUMBER(VLOOKUP(LEFT(D493,3),'Material editor'!$D$11:$H$110,'Material editor'!$F$8,0)),VLOOKUP(LEFT(D493,3),'Material editor'!$D$11:$H$110,'Material editor'!$F$8,0),"")</f>
        <v>33.878444444444447</v>
      </c>
      <c r="I493" s="137">
        <f>IF(ISNUMBER(VLOOKUP(LEFT(D493,3),'Material editor'!$D$11:$H$110,'Material editor'!$G$8,0)),VLOOKUP(LEFT(D493,3),'Material editor'!$D$11:$H$110,'Material editor'!$G$8,0),"")</f>
        <v>-73.372500000000002</v>
      </c>
      <c r="J493" s="137">
        <f>IF(ISNUMBER(VLOOKUP(LEFT(D493,3),'Material editor'!$D$11:$H$110,'Material editor'!$H$8,0)),VLOOKUP(LEFT(D493,3),'Material editor'!$D$11:$H$110,'Material editor'!$H$8,0),"")</f>
        <v>40</v>
      </c>
      <c r="K493" s="418"/>
      <c r="L493" s="407"/>
      <c r="M493" s="94"/>
      <c r="N493" s="136" t="str">
        <f>IF(ISNUMBER(VLOOKUP(LEFT(K493,3),'Material editor'!$D$11:$H$110,'Material editor'!$E$8,0)),VLOOKUP(LEFT(K493,3),'Material editor'!$D$11:$H$110,'Material editor'!$E$8,0),"")</f>
        <v/>
      </c>
      <c r="O493" s="137" t="str">
        <f>IF(ISNUMBER(VLOOKUP(LEFT(K493,3),'Material editor'!$D$11:$H$110,'Material editor'!$F$8,0)),VLOOKUP(LEFT(K493,3),'Material editor'!$D$11:$H$110,'Material editor'!$F$8,0),"")</f>
        <v/>
      </c>
      <c r="P493" s="137" t="str">
        <f>IF(ISNUMBER(VLOOKUP(LEFT(K493,3),'Material editor'!$D$11:$H$110,'Material editor'!$G$8,0)),VLOOKUP(LEFT(K493,3),'Material editor'!$D$11:$H$110,'Material editor'!$G$8,0),"")</f>
        <v/>
      </c>
      <c r="Q493" s="137" t="str">
        <f>IF(ISNUMBER(VLOOKUP(LEFT(K493,3),'Material editor'!$D$11:$H$110,'Material editor'!$H$8,0)),VLOOKUP(LEFT(K493,3),'Material editor'!$D$11:$H$110,'Material editor'!$H$8,0),"")</f>
        <v/>
      </c>
      <c r="R493" s="418"/>
      <c r="S493" s="407"/>
      <c r="T493" s="94"/>
      <c r="U493" s="136" t="str">
        <f>IF(ISNUMBER(VLOOKUP(LEFT(R493,3),'Material editor'!$D$11:$H$110,'Material editor'!$E$8,0)),VLOOKUP(LEFT(R493,3),'Material editor'!$D$11:$H$110,'Material editor'!$E$8,0),"")</f>
        <v/>
      </c>
      <c r="V493" s="137" t="str">
        <f>IF(ISNUMBER(VLOOKUP(LEFT(R493,3),'Material editor'!$D$11:$H$110,'Material editor'!$F$8,0)),VLOOKUP(LEFT(R493,3),'Material editor'!$D$11:$H$110,'Material editor'!$F$8,0),"")</f>
        <v/>
      </c>
      <c r="W493" s="137" t="str">
        <f>IF(ISNUMBER(VLOOKUP(LEFT(R493,3),'Material editor'!$D$11:$H$110,'Material editor'!$G$8,0)),VLOOKUP(LEFT(R493,3),'Material editor'!$D$11:$H$110,'Material editor'!$G$8,0),"")</f>
        <v/>
      </c>
      <c r="X493" s="137" t="str">
        <f>IF(ISNUMBER(VLOOKUP(LEFT(R493,3),'Material editor'!$D$11:$H$110,'Material editor'!$H$8,0)),VLOOKUP(LEFT(R493,3),'Material editor'!$D$11:$H$110,'Material editor'!$H$8,0),"")</f>
        <v/>
      </c>
      <c r="Y493" s="74"/>
      <c r="Z493" s="94">
        <v>10</v>
      </c>
      <c r="AA493" s="8"/>
      <c r="AB493" s="61"/>
      <c r="AC493" s="65"/>
      <c r="AD493" s="65"/>
      <c r="AE493" s="95">
        <f t="shared" si="350"/>
        <v>0.25</v>
      </c>
      <c r="AF493" s="95">
        <f t="shared" si="351"/>
        <v>0.25</v>
      </c>
      <c r="AG493" s="95">
        <f t="shared" si="352"/>
        <v>0.25</v>
      </c>
      <c r="AH493" s="65"/>
      <c r="AI493" s="95">
        <f t="shared" si="353"/>
        <v>0.04</v>
      </c>
      <c r="AJ493" s="95">
        <f t="shared" si="354"/>
        <v>0.04</v>
      </c>
      <c r="AK493" s="95">
        <f t="shared" si="355"/>
        <v>0.04</v>
      </c>
      <c r="AL493" s="65"/>
      <c r="AM493" s="96">
        <f t="shared" ref="AM493:AO493" si="364">AM492</f>
        <v>1</v>
      </c>
      <c r="AN493" s="96">
        <f t="shared" si="364"/>
        <v>0</v>
      </c>
      <c r="AO493" s="96">
        <f t="shared" si="364"/>
        <v>0</v>
      </c>
      <c r="AP493" s="65">
        <f t="shared" si="356"/>
        <v>0.25</v>
      </c>
      <c r="AQ493" s="65"/>
      <c r="AR493" s="65"/>
      <c r="AS493" s="66"/>
      <c r="AT493" s="95">
        <f>IF(ISNUMBER(H493),H493*F493*Z493/1000*Balance!$H$13/J493,0)</f>
        <v>0.16939222222222225</v>
      </c>
      <c r="AU493" s="95">
        <f>IF(ISTEXT(K493),IF(ISNUMBER(O493),O493*M493*Z493/1000*Balance!$H$13/Q493,0),AT493)</f>
        <v>0.16939222222222225</v>
      </c>
      <c r="AV493" s="95">
        <f>IF(ISTEXT(R493),IF(ISNUMBER(V493),V493*T493*Z493/1000*Balance!$H$13/X493,0),AT493)</f>
        <v>0.16939222222222225</v>
      </c>
      <c r="AW493" s="66"/>
      <c r="AX493" s="95">
        <f>AT493*AX485</f>
        <v>0.16939222222222225</v>
      </c>
      <c r="AY493" s="95">
        <f>AU493*AY485</f>
        <v>0</v>
      </c>
      <c r="AZ493" s="95">
        <f>AV493*AZ485</f>
        <v>0</v>
      </c>
      <c r="BA493" s="95">
        <f t="shared" si="358"/>
        <v>0.16939222222222225</v>
      </c>
      <c r="BB493" s="66"/>
      <c r="BC493" s="95">
        <f>IF(ISNUMBER(I493),I493*F493*Z493/1000*Balance!$H$13/J493,0)</f>
        <v>-0.36686250000000004</v>
      </c>
      <c r="BD493" s="95">
        <f>IF(ISTEXT(K493),IF(ISNUMBER(P493),P493*M493*Z493/1000*Balance!$H$13/Q493,0),BC493)</f>
        <v>-0.36686250000000004</v>
      </c>
      <c r="BE493" s="95">
        <f>IF(ISTEXT(R493),IF(ISNUMBER(W493),W493*T493*Z493/1000*Balance!$H$13/X493,0),BC493)</f>
        <v>-0.36686250000000004</v>
      </c>
      <c r="BF493" s="66"/>
      <c r="BG493" s="95">
        <f>BC493*BG485</f>
        <v>-0.36686250000000004</v>
      </c>
      <c r="BH493" s="95">
        <f>BD493*BH485</f>
        <v>0</v>
      </c>
      <c r="BI493" s="95">
        <f>BE493*BI485</f>
        <v>0</v>
      </c>
      <c r="BJ493" s="95">
        <f t="shared" si="359"/>
        <v>-0.36686250000000004</v>
      </c>
      <c r="BK493" s="66"/>
      <c r="BL493" s="66"/>
      <c r="BM493" s="66"/>
    </row>
    <row r="494" spans="2:65" outlineLevel="1" x14ac:dyDescent="0.25">
      <c r="B494" s="201"/>
      <c r="C494" s="91"/>
      <c r="D494" s="418" t="s">
        <v>1024</v>
      </c>
      <c r="E494" s="407"/>
      <c r="F494" s="94">
        <v>1</v>
      </c>
      <c r="G494" s="136">
        <f>IF(ISNUMBER(VLOOKUP(LEFT(D494,3),'Material editor'!$D$11:$H$110,'Material editor'!$E$8,0)),VLOOKUP(LEFT(D494,3),'Material editor'!$D$11:$H$110,'Material editor'!$E$8,0),"")</f>
        <v>7.0000000000000007E-2</v>
      </c>
      <c r="H494" s="137">
        <f>IF(ISNUMBER(VLOOKUP(LEFT(D494,3),'Material editor'!$D$11:$H$110,'Material editor'!$F$8,0)),VLOOKUP(LEFT(D494,3),'Material editor'!$D$11:$H$110,'Material editor'!$F$8,0),"")</f>
        <v>509.16666666666663</v>
      </c>
      <c r="I494" s="137">
        <f>IF(ISNUMBER(VLOOKUP(LEFT(D494,3),'Material editor'!$D$11:$H$110,'Material editor'!$G$8,0)),VLOOKUP(LEFT(D494,3),'Material editor'!$D$11:$H$110,'Material editor'!$G$8,0),"")</f>
        <v>146</v>
      </c>
      <c r="J494" s="137">
        <f>IF(ISNUMBER(VLOOKUP(LEFT(D494,3),'Material editor'!$D$11:$H$110,'Material editor'!$H$8,0)),VLOOKUP(LEFT(D494,3),'Material editor'!$D$11:$H$110,'Material editor'!$H$8,0),"")</f>
        <v>80</v>
      </c>
      <c r="K494" s="418"/>
      <c r="L494" s="407"/>
      <c r="M494" s="94"/>
      <c r="N494" s="136" t="str">
        <f>IF(ISNUMBER(VLOOKUP(LEFT(K494,3),'Material editor'!$D$11:$H$110,'Material editor'!$E$8,0)),VLOOKUP(LEFT(K494,3),'Material editor'!$D$11:$H$110,'Material editor'!$E$8,0),"")</f>
        <v/>
      </c>
      <c r="O494" s="137" t="str">
        <f>IF(ISNUMBER(VLOOKUP(LEFT(K494,3),'Material editor'!$D$11:$H$110,'Material editor'!$F$8,0)),VLOOKUP(LEFT(K494,3),'Material editor'!$D$11:$H$110,'Material editor'!$F$8,0),"")</f>
        <v/>
      </c>
      <c r="P494" s="137" t="str">
        <f>IF(ISNUMBER(VLOOKUP(LEFT(K494,3),'Material editor'!$D$11:$H$110,'Material editor'!$G$8,0)),VLOOKUP(LEFT(K494,3),'Material editor'!$D$11:$H$110,'Material editor'!$G$8,0),"")</f>
        <v/>
      </c>
      <c r="Q494" s="137" t="str">
        <f>IF(ISNUMBER(VLOOKUP(LEFT(K494,3),'Material editor'!$D$11:$H$110,'Material editor'!$H$8,0)),VLOOKUP(LEFT(K494,3),'Material editor'!$D$11:$H$110,'Material editor'!$H$8,0),"")</f>
        <v/>
      </c>
      <c r="R494" s="418"/>
      <c r="S494" s="407"/>
      <c r="T494" s="94"/>
      <c r="U494" s="136" t="str">
        <f>IF(ISNUMBER(VLOOKUP(LEFT(R494,3),'Material editor'!$D$11:$H$110,'Material editor'!$E$8,0)),VLOOKUP(LEFT(R494,3),'Material editor'!$D$11:$H$110,'Material editor'!$E$8,0),"")</f>
        <v/>
      </c>
      <c r="V494" s="137" t="str">
        <f>IF(ISNUMBER(VLOOKUP(LEFT(R494,3),'Material editor'!$D$11:$H$110,'Material editor'!$F$8,0)),VLOOKUP(LEFT(R494,3),'Material editor'!$D$11:$H$110,'Material editor'!$F$8,0),"")</f>
        <v/>
      </c>
      <c r="W494" s="137" t="str">
        <f>IF(ISNUMBER(VLOOKUP(LEFT(R494,3),'Material editor'!$D$11:$H$110,'Material editor'!$G$8,0)),VLOOKUP(LEFT(R494,3),'Material editor'!$D$11:$H$110,'Material editor'!$G$8,0),"")</f>
        <v/>
      </c>
      <c r="X494" s="137" t="str">
        <f>IF(ISNUMBER(VLOOKUP(LEFT(R494,3),'Material editor'!$D$11:$H$110,'Material editor'!$H$8,0)),VLOOKUP(LEFT(R494,3),'Material editor'!$D$11:$H$110,'Material editor'!$H$8,0),"")</f>
        <v/>
      </c>
      <c r="Y494" s="74"/>
      <c r="Z494" s="94">
        <v>10</v>
      </c>
      <c r="AA494" s="8"/>
      <c r="AB494" s="61"/>
      <c r="AC494" s="65"/>
      <c r="AD494" s="65"/>
      <c r="AE494" s="95">
        <f t="shared" si="350"/>
        <v>0.14285714285714285</v>
      </c>
      <c r="AF494" s="95">
        <f t="shared" si="351"/>
        <v>0.14285714285714285</v>
      </c>
      <c r="AG494" s="95">
        <f t="shared" si="352"/>
        <v>0.14285714285714285</v>
      </c>
      <c r="AH494" s="65"/>
      <c r="AI494" s="95">
        <f>IF(ISNUMBER(G494),G494,0)</f>
        <v>7.0000000000000007E-2</v>
      </c>
      <c r="AJ494" s="95">
        <f t="shared" si="354"/>
        <v>7.0000000000000007E-2</v>
      </c>
      <c r="AK494" s="95">
        <f t="shared" si="355"/>
        <v>7.0000000000000007E-2</v>
      </c>
      <c r="AL494" s="65"/>
      <c r="AM494" s="96">
        <f t="shared" ref="AM494:AO494" si="365">AM493</f>
        <v>1</v>
      </c>
      <c r="AN494" s="96">
        <f t="shared" si="365"/>
        <v>0</v>
      </c>
      <c r="AO494" s="96">
        <f t="shared" si="365"/>
        <v>0</v>
      </c>
      <c r="AP494" s="65">
        <f t="shared" si="356"/>
        <v>0.14285714285714285</v>
      </c>
      <c r="AQ494" s="65"/>
      <c r="AR494" s="65"/>
      <c r="AS494" s="66"/>
      <c r="AT494" s="95">
        <f>IF(ISNUMBER(H494),H494*F494*Z494/1000*Balance!$H$13/J494,0)</f>
        <v>1.2729166666666665</v>
      </c>
      <c r="AU494" s="95">
        <f>IF(ISTEXT(K494),IF(ISNUMBER(O494),O494*M494*Z494/1000*Balance!$H$13/Q494,0),AT494)</f>
        <v>1.2729166666666665</v>
      </c>
      <c r="AV494" s="95">
        <f>IF(ISTEXT(R494),IF(ISNUMBER(V494),V494*T494*Z494/1000*Balance!$H$13/X494,0),AT494)</f>
        <v>1.2729166666666665</v>
      </c>
      <c r="AW494" s="66"/>
      <c r="AX494" s="95">
        <f>AT494*AX485</f>
        <v>1.2729166666666665</v>
      </c>
      <c r="AY494" s="95">
        <f>AU494*AY485</f>
        <v>0</v>
      </c>
      <c r="AZ494" s="95">
        <f>AV494*AZ485</f>
        <v>0</v>
      </c>
      <c r="BA494" s="95">
        <f t="shared" si="358"/>
        <v>1.2729166666666665</v>
      </c>
      <c r="BB494" s="66"/>
      <c r="BC494" s="95">
        <f>IF(ISNUMBER(I494),I494*F494*Z494/1000*Balance!$H$13/J494,0)</f>
        <v>0.36499999999999999</v>
      </c>
      <c r="BD494" s="95">
        <f>IF(ISTEXT(K494),IF(ISNUMBER(P494),P494*M494*Z494/1000*Balance!$H$13/Q494,0),BC494)</f>
        <v>0.36499999999999999</v>
      </c>
      <c r="BE494" s="95">
        <f>IF(ISTEXT(R494),IF(ISNUMBER(W494),W494*T494*Z494/1000*Balance!$H$13/X494,0),BC494)</f>
        <v>0.36499999999999999</v>
      </c>
      <c r="BF494" s="66"/>
      <c r="BG494" s="95">
        <f>BC494*BG485</f>
        <v>0.36499999999999999</v>
      </c>
      <c r="BH494" s="95">
        <f>BD494*BH485</f>
        <v>0</v>
      </c>
      <c r="BI494" s="95">
        <f>BE494*BI485</f>
        <v>0</v>
      </c>
      <c r="BJ494" s="95">
        <f t="shared" si="359"/>
        <v>0.36499999999999999</v>
      </c>
      <c r="BK494" s="66"/>
      <c r="BL494" s="66"/>
      <c r="BM494" s="66"/>
    </row>
    <row r="495" spans="2:65" outlineLevel="1" x14ac:dyDescent="0.25">
      <c r="B495" s="201"/>
      <c r="C495" s="77"/>
      <c r="D495" s="125">
        <f>MAX(0,1-K495-R495)</f>
        <v>1</v>
      </c>
      <c r="E495" s="126" t="s">
        <v>141</v>
      </c>
      <c r="F495" s="126"/>
      <c r="H495" s="97"/>
      <c r="I495" s="97"/>
      <c r="J495" s="97"/>
      <c r="K495" s="100"/>
      <c r="L495" s="126" t="s">
        <v>138</v>
      </c>
      <c r="M495" s="126"/>
      <c r="R495" s="100"/>
      <c r="S495" s="126" t="s">
        <v>139</v>
      </c>
      <c r="T495" s="126"/>
      <c r="V495" s="67"/>
      <c r="Y495" s="74"/>
      <c r="Z495" s="5" t="s">
        <v>140</v>
      </c>
      <c r="AA495" s="8"/>
      <c r="AB495" s="61"/>
      <c r="AC495" s="98"/>
      <c r="AD495" s="98" t="s">
        <v>124</v>
      </c>
      <c r="AE495" s="99">
        <f>IF(ISNUMBER($G487),1/($D482+SUM(AE487:AE494)+$D483),0)</f>
        <v>0</v>
      </c>
      <c r="AF495" s="99">
        <f>IF(ISNUMBER($G487),1/($D482+SUM(AF487:AF494)+$D483),0)</f>
        <v>0</v>
      </c>
      <c r="AG495" s="99">
        <f>IF(ISNUMBER($G487),1/($D482+SUM(AG487:AG494)+$D483),0)</f>
        <v>0</v>
      </c>
      <c r="AH495" s="65"/>
      <c r="AI495" s="65"/>
      <c r="AJ495" s="65"/>
      <c r="AK495" s="65"/>
      <c r="AL495" s="65"/>
      <c r="AM495" s="65"/>
      <c r="AN495" s="65"/>
      <c r="AO495" s="65"/>
      <c r="AP495" s="65"/>
      <c r="AQ495" s="65"/>
      <c r="AR495" s="65"/>
      <c r="AS495" s="66"/>
      <c r="AT495" s="66"/>
      <c r="AU495" s="66"/>
      <c r="AV495" s="66"/>
      <c r="AW495" s="66"/>
      <c r="AX495" s="66"/>
      <c r="AY495" s="66"/>
      <c r="AZ495" s="66"/>
      <c r="BA495" s="66"/>
      <c r="BB495" s="66"/>
      <c r="BC495" s="66"/>
      <c r="BD495" s="66"/>
      <c r="BE495" s="66"/>
      <c r="BF495" s="66"/>
      <c r="BG495" s="66"/>
      <c r="BH495" s="66"/>
      <c r="BI495" s="66"/>
      <c r="BJ495" s="66"/>
      <c r="BK495" s="66"/>
      <c r="BL495" s="66"/>
      <c r="BM495" s="66"/>
    </row>
    <row r="496" spans="2:65" outlineLevel="1" x14ac:dyDescent="0.25">
      <c r="B496" s="201"/>
      <c r="C496" s="77"/>
      <c r="D496" s="41"/>
      <c r="E496" s="116" t="s">
        <v>150</v>
      </c>
      <c r="F496" s="116"/>
      <c r="H496" s="68"/>
      <c r="I496" s="68"/>
      <c r="J496" s="68"/>
      <c r="K496" s="157" t="str">
        <f>IF(AE502&lt;=0.1,"","Der Fehler der U-Wert-Berechnung liegt möglicherweise über 10 %. Wärmebrückenberechnung?")</f>
        <v/>
      </c>
      <c r="L496" s="68"/>
      <c r="M496" s="68"/>
      <c r="N496" s="68"/>
      <c r="R496" s="5"/>
      <c r="S496" s="5"/>
      <c r="T496" s="5"/>
      <c r="U496" s="68"/>
      <c r="V496" s="68"/>
      <c r="X496" s="68"/>
      <c r="Y496" s="5"/>
      <c r="Z496" s="189">
        <f>IF(ISNUMBER(Z487),SUM(Z487:Z495)/10,"")</f>
        <v>8</v>
      </c>
      <c r="AA496" s="10" t="s">
        <v>8</v>
      </c>
      <c r="AB496" s="61"/>
      <c r="AC496" s="98"/>
      <c r="AD496" s="98" t="s">
        <v>125</v>
      </c>
      <c r="AE496" s="101">
        <f>1-SUM(AF496:AG496)</f>
        <v>1</v>
      </c>
      <c r="AF496" s="102">
        <f>K495</f>
        <v>0</v>
      </c>
      <c r="AG496" s="102">
        <f>R495</f>
        <v>0</v>
      </c>
      <c r="AH496" s="98"/>
      <c r="AI496" s="65"/>
      <c r="AJ496" s="65"/>
      <c r="AK496" s="65"/>
      <c r="AL496" s="65"/>
      <c r="AM496" s="65"/>
      <c r="AN496" s="65"/>
      <c r="AO496" s="65"/>
      <c r="AP496" s="65"/>
      <c r="AQ496" s="65"/>
      <c r="AR496" s="65" t="s">
        <v>393</v>
      </c>
      <c r="AS496" s="148"/>
      <c r="AT496" s="175" t="s">
        <v>393</v>
      </c>
      <c r="AU496" s="65" t="s">
        <v>366</v>
      </c>
      <c r="AV496" s="65" t="s">
        <v>355</v>
      </c>
      <c r="AW496" s="66"/>
      <c r="AX496" s="65" t="s">
        <v>394</v>
      </c>
      <c r="AY496" s="65" t="s">
        <v>356</v>
      </c>
      <c r="AZ496" s="66"/>
      <c r="BA496" s="66"/>
      <c r="BB496" s="66"/>
      <c r="BC496" s="66"/>
      <c r="BD496" s="66"/>
      <c r="BE496" s="66"/>
      <c r="BF496" s="66"/>
      <c r="BG496" s="66"/>
      <c r="BH496" s="66"/>
      <c r="BI496" s="66"/>
      <c r="BJ496" s="66"/>
      <c r="BK496" s="66"/>
      <c r="BL496" s="66"/>
      <c r="BM496" s="66"/>
    </row>
    <row r="497" spans="2:65" outlineLevel="1" x14ac:dyDescent="0.25">
      <c r="B497" s="201"/>
      <c r="C497" s="77"/>
      <c r="D497" s="68"/>
      <c r="E497" s="68"/>
      <c r="F497" s="68"/>
      <c r="G497" s="68"/>
      <c r="H497" s="68"/>
      <c r="I497" s="68"/>
      <c r="J497" s="68"/>
      <c r="K497" s="68"/>
      <c r="L497" s="68"/>
      <c r="M497" s="68"/>
      <c r="N497" s="68"/>
      <c r="O497" s="68"/>
      <c r="P497" s="68"/>
      <c r="Q497" s="68"/>
      <c r="R497" s="68"/>
      <c r="T497" s="68"/>
      <c r="U497" s="68"/>
      <c r="V497" s="68"/>
      <c r="W497" s="68"/>
      <c r="X497" s="68"/>
      <c r="Y497" s="5"/>
      <c r="Z497" s="67"/>
      <c r="AA497" s="8"/>
      <c r="AB497" s="61"/>
      <c r="AC497" s="101"/>
      <c r="AD497" s="101"/>
      <c r="AE497" s="99"/>
      <c r="AF497" s="99"/>
      <c r="AG497" s="99"/>
      <c r="AH497" s="65"/>
      <c r="AI497" s="65"/>
      <c r="AJ497" s="65"/>
      <c r="AK497" s="65"/>
      <c r="AL497" s="65"/>
      <c r="AM497" s="65"/>
      <c r="AN497" s="65"/>
      <c r="AO497" s="65"/>
      <c r="AP497" s="65"/>
      <c r="AQ497" s="65"/>
      <c r="AR497" s="65"/>
      <c r="AS497" s="65"/>
      <c r="AT497" s="101" t="s">
        <v>367</v>
      </c>
      <c r="AU497" s="176" t="e">
        <f>Z498*F482*Balance!$H$6</f>
        <v>#VALUE!</v>
      </c>
      <c r="AV497" s="176" t="e">
        <f>AU497*Balance!$H$13</f>
        <v>#VALUE!</v>
      </c>
      <c r="AW497" s="66"/>
      <c r="AX497" s="66"/>
      <c r="AY497" s="66"/>
      <c r="AZ497" s="66"/>
      <c r="BA497" s="101" t="s">
        <v>351</v>
      </c>
      <c r="BB497" s="66"/>
      <c r="BC497" s="66"/>
      <c r="BD497" s="66"/>
      <c r="BE497" s="66"/>
      <c r="BF497" s="66"/>
      <c r="BG497" s="66"/>
      <c r="BH497" s="66"/>
      <c r="BI497" s="66"/>
      <c r="BJ497" s="66"/>
      <c r="BK497" s="66"/>
      <c r="BL497" s="66"/>
      <c r="BM497" s="66"/>
    </row>
    <row r="498" spans="2:65" ht="18" outlineLevel="1" x14ac:dyDescent="0.35">
      <c r="B498" s="201"/>
      <c r="C498" s="77"/>
      <c r="H498" s="68"/>
      <c r="I498" s="68"/>
      <c r="J498" s="67"/>
      <c r="K498" s="192" t="s">
        <v>397</v>
      </c>
      <c r="L498" s="67"/>
      <c r="M498" s="67"/>
      <c r="N498" s="67"/>
      <c r="O498" s="67"/>
      <c r="P498" s="67"/>
      <c r="Q498" s="67"/>
      <c r="R498" s="14" t="s">
        <v>398</v>
      </c>
      <c r="U498" s="68"/>
      <c r="V498" s="68"/>
      <c r="W498" s="68"/>
      <c r="X498" s="68"/>
      <c r="Y498" s="127" t="s">
        <v>154</v>
      </c>
      <c r="Z498" s="193" t="str">
        <f>IF(ISNUMBER(G487),IF(AE502&lt;0.1,1/AE498,1/(AP498*1.1))+D496,"")</f>
        <v/>
      </c>
      <c r="AA498" s="8" t="s">
        <v>10</v>
      </c>
      <c r="AB498" s="61"/>
      <c r="AC498" s="101"/>
      <c r="AD498" s="101" t="s">
        <v>126</v>
      </c>
      <c r="AE498" s="95">
        <f>IF(ISNUMBER(G487),AVERAGE(AG498,AP498),0)</f>
        <v>0</v>
      </c>
      <c r="AF498" s="101" t="s">
        <v>127</v>
      </c>
      <c r="AG498" s="95">
        <f>IF(ISNUMBER(G487),1/SUMPRODUCT(AE496:AG496,AE495:AG495),0)</f>
        <v>0</v>
      </c>
      <c r="AH498" s="65"/>
      <c r="AI498" s="65"/>
      <c r="AJ498" s="65"/>
      <c r="AK498" s="65"/>
      <c r="AL498" s="103"/>
      <c r="AM498" s="65"/>
      <c r="AN498" s="65"/>
      <c r="AO498" s="101" t="s">
        <v>128</v>
      </c>
      <c r="AP498" s="95">
        <f>$D482+SUM(AP487:AP494)+$D483</f>
        <v>1.9794207379921667</v>
      </c>
      <c r="AQ498" s="65"/>
      <c r="AR498" s="65"/>
      <c r="AS498" s="152" t="str">
        <f>Data!$D$4</f>
        <v>Heat pump</v>
      </c>
      <c r="AT498" s="177" t="s">
        <v>374</v>
      </c>
      <c r="AU498" s="179" t="e">
        <f>AU497/(Balance!$H$17*Balance!$H$18*Balance!$H$19)*Balance!$H$22</f>
        <v>#VALUE!</v>
      </c>
      <c r="AV498" s="176" t="e">
        <f>AU498*Balance!$H$13</f>
        <v>#VALUE!</v>
      </c>
      <c r="AW498" s="66"/>
      <c r="AX498" s="186" t="e">
        <f ca="1">AU497/(Balance!$H$17*Balance!$H$18*Balance!$H$19)*Balance!$G$22/1000</f>
        <v>#VALUE!</v>
      </c>
      <c r="AY498" s="176" t="e">
        <f ca="1">AX498*Balance!$H$13</f>
        <v>#VALUE!</v>
      </c>
      <c r="AZ498" s="101"/>
      <c r="BA498" s="95">
        <f>SUM(BA487:BA494)</f>
        <v>10.731993164271351</v>
      </c>
      <c r="BB498" s="66" t="s">
        <v>355</v>
      </c>
      <c r="BC498" s="66"/>
      <c r="BD498" s="66"/>
      <c r="BE498" s="66"/>
      <c r="BF498" s="66"/>
      <c r="BG498" s="66"/>
      <c r="BH498" s="66"/>
      <c r="BI498" s="101" t="s">
        <v>149</v>
      </c>
      <c r="BJ498" s="95">
        <f>SUM(BJ487:BJ494)</f>
        <v>-0.25096553278569611</v>
      </c>
      <c r="BK498" s="66" t="s">
        <v>357</v>
      </c>
      <c r="BL498" s="66"/>
      <c r="BM498" s="66"/>
    </row>
    <row r="499" spans="2:65" ht="15.75" outlineLevel="1" x14ac:dyDescent="0.25">
      <c r="B499" s="201"/>
      <c r="C499" s="77"/>
      <c r="D499" s="155"/>
      <c r="E499" s="188" t="s">
        <v>395</v>
      </c>
      <c r="F499" s="116"/>
      <c r="H499" s="68"/>
      <c r="I499" s="68"/>
      <c r="J499" s="67"/>
      <c r="K499" s="190">
        <f>BA498</f>
        <v>10.731993164271351</v>
      </c>
      <c r="L499" s="128" t="s">
        <v>400</v>
      </c>
      <c r="M499" s="67"/>
      <c r="N499" s="67"/>
      <c r="O499" s="67"/>
      <c r="P499" s="67"/>
      <c r="Q499" s="67"/>
      <c r="R499" s="190">
        <f>BJ498</f>
        <v>-0.25096553278569611</v>
      </c>
      <c r="S499" s="128" t="s">
        <v>399</v>
      </c>
      <c r="U499" s="68"/>
      <c r="V499" s="68"/>
      <c r="W499" s="68"/>
      <c r="X499" s="68"/>
      <c r="Y499" s="67"/>
      <c r="Z499" s="67"/>
      <c r="AA499" s="8"/>
      <c r="AB499" s="61"/>
      <c r="AC499" s="101"/>
      <c r="AD499" s="101"/>
      <c r="AE499" s="154"/>
      <c r="AF499" s="101"/>
      <c r="AG499" s="154"/>
      <c r="AH499" s="65"/>
      <c r="AI499" s="65"/>
      <c r="AJ499" s="65"/>
      <c r="AK499" s="65"/>
      <c r="AL499" s="103"/>
      <c r="AM499" s="65"/>
      <c r="AN499" s="65"/>
      <c r="AO499" s="101"/>
      <c r="AP499" s="154"/>
      <c r="AQ499" s="65"/>
      <c r="AR499" s="65"/>
      <c r="AS499" s="152" t="str">
        <f>Data!$D$5</f>
        <v>Direct electric</v>
      </c>
      <c r="AT499" s="177" t="s">
        <v>374</v>
      </c>
      <c r="AU499" s="179" t="e">
        <f>AU497/Balance!$H$18*Balance!$H$22</f>
        <v>#VALUE!</v>
      </c>
      <c r="AV499" s="176" t="e">
        <f>AU499*Balance!$H$13</f>
        <v>#VALUE!</v>
      </c>
      <c r="AW499" s="66"/>
      <c r="AX499" s="186" t="e">
        <f ca="1">AU497/Balance!$H$18*Balance!$G$22/1000</f>
        <v>#VALUE!</v>
      </c>
      <c r="AY499" s="176" t="e">
        <f ca="1">AX499*Balance!$H$13</f>
        <v>#VALUE!</v>
      </c>
      <c r="AZ499" s="101"/>
      <c r="BA499" s="154"/>
      <c r="BB499" s="66"/>
      <c r="BC499" s="66"/>
      <c r="BD499" s="66"/>
      <c r="BE499" s="66"/>
      <c r="BF499" s="66"/>
      <c r="BG499" s="66"/>
      <c r="BH499" s="66"/>
      <c r="BI499" s="101"/>
      <c r="BJ499" s="154"/>
      <c r="BK499" s="66"/>
      <c r="BL499" s="66"/>
      <c r="BM499" s="66"/>
    </row>
    <row r="500" spans="2:65" ht="15.75" outlineLevel="1" x14ac:dyDescent="0.25">
      <c r="B500" s="201"/>
      <c r="C500" s="77"/>
      <c r="D500" s="155"/>
      <c r="E500" s="188" t="s">
        <v>396</v>
      </c>
      <c r="F500" s="116"/>
      <c r="H500" s="68"/>
      <c r="I500" s="68"/>
      <c r="J500" s="67"/>
      <c r="K500" s="190" t="e">
        <f>AV502</f>
        <v>#VALUE!</v>
      </c>
      <c r="L500" s="128" t="s">
        <v>401</v>
      </c>
      <c r="M500" s="67"/>
      <c r="N500" s="67"/>
      <c r="O500" s="67"/>
      <c r="P500" s="67"/>
      <c r="Q500" s="67"/>
      <c r="R500" s="190" t="e">
        <f ca="1">AY502</f>
        <v>#VALUE!</v>
      </c>
      <c r="S500" s="128" t="s">
        <v>358</v>
      </c>
      <c r="U500" s="68"/>
      <c r="V500" s="68"/>
      <c r="W500" s="68"/>
      <c r="X500" s="68"/>
      <c r="Y500" s="67"/>
      <c r="Z500" s="67"/>
      <c r="AA500" s="8"/>
      <c r="AB500" s="61"/>
      <c r="AC500" s="101"/>
      <c r="AD500" s="101"/>
      <c r="AE500" s="154"/>
      <c r="AF500" s="101"/>
      <c r="AG500" s="154"/>
      <c r="AH500" s="65"/>
      <c r="AI500" s="65"/>
      <c r="AJ500" s="65"/>
      <c r="AK500" s="65"/>
      <c r="AL500" s="103"/>
      <c r="AM500" s="65"/>
      <c r="AN500" s="65"/>
      <c r="AO500" s="101"/>
      <c r="AP500" s="154"/>
      <c r="AQ500" s="65"/>
      <c r="AR500" s="65"/>
      <c r="AS500" s="152" t="str">
        <f>Data!$D$6</f>
        <v>Gas boiler</v>
      </c>
      <c r="AT500" s="177" t="s">
        <v>374</v>
      </c>
      <c r="AU500" s="179" t="e">
        <f>AU497/(Balance!$H$18*Balance!$H$19)*Balance!H$23</f>
        <v>#VALUE!</v>
      </c>
      <c r="AV500" s="176" t="e">
        <f>AU500*Balance!$H$13</f>
        <v>#VALUE!</v>
      </c>
      <c r="AW500" s="66"/>
      <c r="AX500" s="186" t="e">
        <f ca="1">AU497/(Balance!$H$18*Balance!$H$19)*Balance!$G$23/1000</f>
        <v>#VALUE!</v>
      </c>
      <c r="AY500" s="176" t="e">
        <f ca="1">AX500*Balance!$H$13</f>
        <v>#VALUE!</v>
      </c>
      <c r="AZ500" s="101"/>
      <c r="BA500" s="154"/>
      <c r="BB500" s="66"/>
      <c r="BC500" s="66"/>
      <c r="BD500" s="66"/>
      <c r="BE500" s="66"/>
      <c r="BF500" s="66"/>
      <c r="BG500" s="66"/>
      <c r="BH500" s="66"/>
      <c r="BI500" s="101"/>
      <c r="BJ500" s="154"/>
      <c r="BK500" s="66"/>
      <c r="BL500" s="66"/>
      <c r="BM500" s="66"/>
    </row>
    <row r="501" spans="2:65" ht="15.75" outlineLevel="1" x14ac:dyDescent="0.25">
      <c r="B501" s="201"/>
      <c r="C501" s="77"/>
      <c r="D501" s="155"/>
      <c r="E501" s="188" t="s">
        <v>352</v>
      </c>
      <c r="F501" s="116"/>
      <c r="H501" s="68"/>
      <c r="I501" s="68"/>
      <c r="J501" s="67"/>
      <c r="K501" s="191" t="e">
        <f>K500+K499</f>
        <v>#VALUE!</v>
      </c>
      <c r="L501" s="128" t="s">
        <v>355</v>
      </c>
      <c r="M501" s="67"/>
      <c r="N501" s="67"/>
      <c r="O501" s="67"/>
      <c r="P501" s="67"/>
      <c r="Q501" s="67"/>
      <c r="R501" s="191" t="e">
        <f ca="1">R500+R499</f>
        <v>#VALUE!</v>
      </c>
      <c r="S501" s="128" t="s">
        <v>358</v>
      </c>
      <c r="T501" s="153"/>
      <c r="U501" s="68"/>
      <c r="V501" s="68"/>
      <c r="W501" s="68"/>
      <c r="X501" s="68"/>
      <c r="Y501" s="67"/>
      <c r="Z501" s="67"/>
      <c r="AA501" s="8"/>
      <c r="AB501" s="61"/>
      <c r="AC501" s="101"/>
      <c r="AD501" s="101"/>
      <c r="AE501" s="154"/>
      <c r="AF501" s="101"/>
      <c r="AG501" s="154"/>
      <c r="AH501" s="65"/>
      <c r="AI501" s="65"/>
      <c r="AJ501" s="65"/>
      <c r="AK501" s="65"/>
      <c r="AL501" s="103"/>
      <c r="AM501" s="65"/>
      <c r="AN501" s="65"/>
      <c r="AO501" s="101"/>
      <c r="AP501" s="154"/>
      <c r="AQ501" s="65"/>
      <c r="AR501" s="65"/>
      <c r="AS501" s="152" t="str">
        <f>Data!$D$7</f>
        <v>Biomass</v>
      </c>
      <c r="AT501" s="177" t="s">
        <v>374</v>
      </c>
      <c r="AU501" s="179" t="e">
        <f>AU497/(Balance!$H$18*Balance!$H$19)*Balance!$H$24</f>
        <v>#VALUE!</v>
      </c>
      <c r="AV501" s="176" t="e">
        <f>AU501*Balance!$H$13</f>
        <v>#VALUE!</v>
      </c>
      <c r="AW501" s="66"/>
      <c r="AX501" s="186" t="e">
        <f ca="1">AU497/(Balance!$H$18*Balance!$H$19)*Balance!$G$24/1000</f>
        <v>#VALUE!</v>
      </c>
      <c r="AY501" s="176" t="e">
        <f ca="1">AX501*Balance!$H$13</f>
        <v>#VALUE!</v>
      </c>
      <c r="AZ501" s="101"/>
      <c r="BA501" s="154"/>
      <c r="BB501" s="66"/>
      <c r="BC501" s="66"/>
      <c r="BD501" s="66"/>
      <c r="BE501" s="66"/>
      <c r="BF501" s="66"/>
      <c r="BG501" s="66"/>
      <c r="BH501" s="66"/>
      <c r="BI501" s="101"/>
      <c r="BJ501" s="154"/>
      <c r="BK501" s="66"/>
      <c r="BL501" s="66"/>
      <c r="BM501" s="66"/>
    </row>
    <row r="502" spans="2:65" outlineLevel="1" x14ac:dyDescent="0.25">
      <c r="B502" s="201"/>
      <c r="C502" s="104"/>
      <c r="D502" s="105"/>
      <c r="E502" s="106"/>
      <c r="F502" s="106"/>
      <c r="G502" s="106"/>
      <c r="H502" s="107"/>
      <c r="I502" s="107"/>
      <c r="J502" s="107"/>
      <c r="K502" s="106"/>
      <c r="L502" s="106"/>
      <c r="M502" s="106"/>
      <c r="N502" s="106"/>
      <c r="O502" s="106"/>
      <c r="P502" s="106"/>
      <c r="Q502" s="106"/>
      <c r="R502" s="106"/>
      <c r="S502" s="106"/>
      <c r="T502" s="106"/>
      <c r="U502" s="106"/>
      <c r="V502" s="106"/>
      <c r="W502" s="106"/>
      <c r="X502" s="106"/>
      <c r="Y502" s="106"/>
      <c r="Z502" s="108"/>
      <c r="AA502" s="109"/>
      <c r="AB502" s="61"/>
      <c r="AC502" s="101"/>
      <c r="AD502" s="101" t="s">
        <v>129</v>
      </c>
      <c r="AE502" s="110">
        <f>IF(ISNUMBER(G487),(AG498-AP498)/(2*AE498),0)</f>
        <v>0</v>
      </c>
      <c r="AF502" s="111"/>
      <c r="AG502" s="65"/>
      <c r="AH502" s="101"/>
      <c r="AI502" s="65"/>
      <c r="AJ502" s="65"/>
      <c r="AK502" s="65"/>
      <c r="AL502" s="65"/>
      <c r="AM502" s="65"/>
      <c r="AN502" s="65"/>
      <c r="AO502" s="65"/>
      <c r="AP502" s="66"/>
      <c r="AQ502" s="65"/>
      <c r="AR502" s="65"/>
      <c r="AS502" s="178" t="str">
        <f>Balance!$G$16</f>
        <v>Heat pump</v>
      </c>
      <c r="AT502" s="66"/>
      <c r="AU502" s="185" t="e">
        <f>VLOOKUP(AS502,AS498:AU501,3,0)</f>
        <v>#VALUE!</v>
      </c>
      <c r="AV502" s="185" t="e">
        <f>VLOOKUP(AS502,AS498:AV501,4,0)</f>
        <v>#VALUE!</v>
      </c>
      <c r="AW502" s="185"/>
      <c r="AX502" s="187" t="e">
        <f ca="1">VLOOKUP(AS502,AS498:AX501,6,0)</f>
        <v>#VALUE!</v>
      </c>
      <c r="AY502" s="185" t="e">
        <f ca="1">VLOOKUP(AS502,AS498:AY501,7,0)</f>
        <v>#VALUE!</v>
      </c>
      <c r="AZ502" s="66"/>
      <c r="BA502" s="66"/>
      <c r="BB502" s="66"/>
      <c r="BC502" s="66"/>
      <c r="BD502" s="66"/>
      <c r="BE502" s="66"/>
      <c r="BF502" s="66"/>
      <c r="BG502" s="66"/>
      <c r="BH502" s="66"/>
      <c r="BI502" s="66"/>
      <c r="BJ502" s="66"/>
      <c r="BK502" s="66"/>
      <c r="BL502" s="66"/>
      <c r="BM502" s="66"/>
    </row>
    <row r="503" spans="2:65" outlineLevel="1" x14ac:dyDescent="0.25">
      <c r="B503" s="201"/>
    </row>
    <row r="504" spans="2:65" outlineLevel="1" x14ac:dyDescent="0.25">
      <c r="B504" s="201"/>
    </row>
    <row r="505" spans="2:65" x14ac:dyDescent="0.25">
      <c r="B505" s="201"/>
    </row>
    <row r="506" spans="2:65" x14ac:dyDescent="0.25">
      <c r="B506" s="201"/>
    </row>
    <row r="507" spans="2:65" x14ac:dyDescent="0.25">
      <c r="B507" s="201"/>
    </row>
    <row r="508" spans="2:65" x14ac:dyDescent="0.25">
      <c r="B508" s="201"/>
    </row>
  </sheetData>
  <mergeCells count="456">
    <mergeCell ref="D418:E418"/>
    <mergeCell ref="K418:L418"/>
    <mergeCell ref="R418:S418"/>
    <mergeCell ref="D419:E419"/>
    <mergeCell ref="K419:L419"/>
    <mergeCell ref="R419:S419"/>
    <mergeCell ref="D415:E415"/>
    <mergeCell ref="K415:L415"/>
    <mergeCell ref="R415:S415"/>
    <mergeCell ref="D416:E416"/>
    <mergeCell ref="K416:L416"/>
    <mergeCell ref="R416:S416"/>
    <mergeCell ref="D417:E417"/>
    <mergeCell ref="K417:L417"/>
    <mergeCell ref="R417:S417"/>
    <mergeCell ref="D412:E412"/>
    <mergeCell ref="K412:L412"/>
    <mergeCell ref="R412:S412"/>
    <mergeCell ref="D413:E413"/>
    <mergeCell ref="K413:L413"/>
    <mergeCell ref="R413:S413"/>
    <mergeCell ref="D414:E414"/>
    <mergeCell ref="K414:L414"/>
    <mergeCell ref="R414:S414"/>
    <mergeCell ref="D392:E392"/>
    <mergeCell ref="K392:L392"/>
    <mergeCell ref="R392:S392"/>
    <mergeCell ref="D393:E393"/>
    <mergeCell ref="K393:L393"/>
    <mergeCell ref="R393:S393"/>
    <mergeCell ref="D394:E394"/>
    <mergeCell ref="K394:L394"/>
    <mergeCell ref="R394:S394"/>
    <mergeCell ref="D389:E389"/>
    <mergeCell ref="K389:L389"/>
    <mergeCell ref="R389:S389"/>
    <mergeCell ref="D390:E390"/>
    <mergeCell ref="K390:L390"/>
    <mergeCell ref="R390:S390"/>
    <mergeCell ref="D391:E391"/>
    <mergeCell ref="K391:L391"/>
    <mergeCell ref="R391:S391"/>
    <mergeCell ref="D369:E369"/>
    <mergeCell ref="K369:L369"/>
    <mergeCell ref="R369:S369"/>
    <mergeCell ref="D387:E387"/>
    <mergeCell ref="K387:L387"/>
    <mergeCell ref="R387:S387"/>
    <mergeCell ref="D388:E388"/>
    <mergeCell ref="K388:L388"/>
    <mergeCell ref="R388:S388"/>
    <mergeCell ref="D366:E366"/>
    <mergeCell ref="K366:L366"/>
    <mergeCell ref="R366:S366"/>
    <mergeCell ref="D367:E367"/>
    <mergeCell ref="K367:L367"/>
    <mergeCell ref="R367:S367"/>
    <mergeCell ref="D368:E368"/>
    <mergeCell ref="K368:L368"/>
    <mergeCell ref="R368:S368"/>
    <mergeCell ref="D363:E363"/>
    <mergeCell ref="K363:L363"/>
    <mergeCell ref="R363:S363"/>
    <mergeCell ref="D364:E364"/>
    <mergeCell ref="K364:L364"/>
    <mergeCell ref="R364:S364"/>
    <mergeCell ref="D365:E365"/>
    <mergeCell ref="K365:L365"/>
    <mergeCell ref="R365:S365"/>
    <mergeCell ref="D343:E343"/>
    <mergeCell ref="K343:L343"/>
    <mergeCell ref="R343:S343"/>
    <mergeCell ref="D344:E344"/>
    <mergeCell ref="K344:L344"/>
    <mergeCell ref="R344:S344"/>
    <mergeCell ref="D362:E362"/>
    <mergeCell ref="K362:L362"/>
    <mergeCell ref="R362:S362"/>
    <mergeCell ref="D340:E340"/>
    <mergeCell ref="K340:L340"/>
    <mergeCell ref="R340:S340"/>
    <mergeCell ref="D341:E341"/>
    <mergeCell ref="K341:L341"/>
    <mergeCell ref="R341:S341"/>
    <mergeCell ref="D342:E342"/>
    <mergeCell ref="K342:L342"/>
    <mergeCell ref="R342:S342"/>
    <mergeCell ref="D337:E337"/>
    <mergeCell ref="K337:L337"/>
    <mergeCell ref="R337:S337"/>
    <mergeCell ref="D338:E338"/>
    <mergeCell ref="K338:L338"/>
    <mergeCell ref="R338:S338"/>
    <mergeCell ref="D339:E339"/>
    <mergeCell ref="K339:L339"/>
    <mergeCell ref="R339:S339"/>
    <mergeCell ref="D493:E493"/>
    <mergeCell ref="K493:L493"/>
    <mergeCell ref="R493:S493"/>
    <mergeCell ref="D494:E494"/>
    <mergeCell ref="K494:L494"/>
    <mergeCell ref="R494:S494"/>
    <mergeCell ref="D490:E490"/>
    <mergeCell ref="K490:L490"/>
    <mergeCell ref="R490:S490"/>
    <mergeCell ref="D491:E491"/>
    <mergeCell ref="K491:L491"/>
    <mergeCell ref="R491:S491"/>
    <mergeCell ref="D492:E492"/>
    <mergeCell ref="K492:L492"/>
    <mergeCell ref="R492:S492"/>
    <mergeCell ref="D487:E487"/>
    <mergeCell ref="K487:L487"/>
    <mergeCell ref="R487:S487"/>
    <mergeCell ref="D488:E488"/>
    <mergeCell ref="K488:L488"/>
    <mergeCell ref="R488:S488"/>
    <mergeCell ref="D489:E489"/>
    <mergeCell ref="K489:L489"/>
    <mergeCell ref="R489:S489"/>
    <mergeCell ref="D467:E467"/>
    <mergeCell ref="K467:L467"/>
    <mergeCell ref="R467:S467"/>
    <mergeCell ref="D468:E468"/>
    <mergeCell ref="K468:L468"/>
    <mergeCell ref="R468:S468"/>
    <mergeCell ref="D469:E469"/>
    <mergeCell ref="K469:L469"/>
    <mergeCell ref="R469:S469"/>
    <mergeCell ref="D464:E464"/>
    <mergeCell ref="K464:L464"/>
    <mergeCell ref="R464:S464"/>
    <mergeCell ref="D465:E465"/>
    <mergeCell ref="K465:L465"/>
    <mergeCell ref="R465:S465"/>
    <mergeCell ref="D466:E466"/>
    <mergeCell ref="K466:L466"/>
    <mergeCell ref="R466:S466"/>
    <mergeCell ref="D63:E63"/>
    <mergeCell ref="K63:L63"/>
    <mergeCell ref="R63:S63"/>
    <mergeCell ref="D64:E64"/>
    <mergeCell ref="K64:L64"/>
    <mergeCell ref="R64:S64"/>
    <mergeCell ref="D69:E69"/>
    <mergeCell ref="D62:E62"/>
    <mergeCell ref="K62:L62"/>
    <mergeCell ref="R62:S62"/>
    <mergeCell ref="K69:L69"/>
    <mergeCell ref="R69:S69"/>
    <mergeCell ref="D462:E462"/>
    <mergeCell ref="K462:L462"/>
    <mergeCell ref="R462:S462"/>
    <mergeCell ref="D463:E463"/>
    <mergeCell ref="K463:L463"/>
    <mergeCell ref="R463:S463"/>
    <mergeCell ref="D65:E65"/>
    <mergeCell ref="K65:L65"/>
    <mergeCell ref="R65:S65"/>
    <mergeCell ref="D66:E66"/>
    <mergeCell ref="K66:L66"/>
    <mergeCell ref="R66:S66"/>
    <mergeCell ref="D312:E312"/>
    <mergeCell ref="K312:L312"/>
    <mergeCell ref="R312:S312"/>
    <mergeCell ref="D313:E313"/>
    <mergeCell ref="K313:L313"/>
    <mergeCell ref="R313:S313"/>
    <mergeCell ref="D314:E314"/>
    <mergeCell ref="K314:L314"/>
    <mergeCell ref="R314:S314"/>
    <mergeCell ref="D315:E315"/>
    <mergeCell ref="K315:L315"/>
    <mergeCell ref="R315:S315"/>
    <mergeCell ref="R37:S37"/>
    <mergeCell ref="R38:S38"/>
    <mergeCell ref="R39:S39"/>
    <mergeCell ref="R40:S40"/>
    <mergeCell ref="R41:S41"/>
    <mergeCell ref="R42:S42"/>
    <mergeCell ref="R43:S43"/>
    <mergeCell ref="R44:S44"/>
    <mergeCell ref="K41:L41"/>
    <mergeCell ref="K42:L42"/>
    <mergeCell ref="K43:L43"/>
    <mergeCell ref="D37:E37"/>
    <mergeCell ref="D38:E38"/>
    <mergeCell ref="D39:E39"/>
    <mergeCell ref="D40:E40"/>
    <mergeCell ref="D41:E41"/>
    <mergeCell ref="D42:E42"/>
    <mergeCell ref="D43:E43"/>
    <mergeCell ref="D44:E44"/>
    <mergeCell ref="K37:L37"/>
    <mergeCell ref="K38:L38"/>
    <mergeCell ref="K39:L39"/>
    <mergeCell ref="K40:L40"/>
    <mergeCell ref="K44:L44"/>
    <mergeCell ref="D87:E87"/>
    <mergeCell ref="K87:L87"/>
    <mergeCell ref="R87:S87"/>
    <mergeCell ref="D67:E67"/>
    <mergeCell ref="K67:L67"/>
    <mergeCell ref="R67:S67"/>
    <mergeCell ref="D68:E68"/>
    <mergeCell ref="K68:L68"/>
    <mergeCell ref="R68:S68"/>
    <mergeCell ref="D90:E90"/>
    <mergeCell ref="K90:L90"/>
    <mergeCell ref="R90:S90"/>
    <mergeCell ref="D91:E91"/>
    <mergeCell ref="K91:L91"/>
    <mergeCell ref="R91:S91"/>
    <mergeCell ref="D88:E88"/>
    <mergeCell ref="K88:L88"/>
    <mergeCell ref="R88:S88"/>
    <mergeCell ref="D89:E89"/>
    <mergeCell ref="K89:L89"/>
    <mergeCell ref="R89:S89"/>
    <mergeCell ref="D94:E94"/>
    <mergeCell ref="K94:L94"/>
    <mergeCell ref="R94:S94"/>
    <mergeCell ref="D112:E112"/>
    <mergeCell ref="K112:L112"/>
    <mergeCell ref="R112:S112"/>
    <mergeCell ref="D92:E92"/>
    <mergeCell ref="K92:L92"/>
    <mergeCell ref="R92:S92"/>
    <mergeCell ref="D93:E93"/>
    <mergeCell ref="K93:L93"/>
    <mergeCell ref="R93:S93"/>
    <mergeCell ref="D115:E115"/>
    <mergeCell ref="K115:L115"/>
    <mergeCell ref="R115:S115"/>
    <mergeCell ref="D116:E116"/>
    <mergeCell ref="K116:L116"/>
    <mergeCell ref="R116:S116"/>
    <mergeCell ref="D113:E113"/>
    <mergeCell ref="K113:L113"/>
    <mergeCell ref="R113:S113"/>
    <mergeCell ref="D114:E114"/>
    <mergeCell ref="K114:L114"/>
    <mergeCell ref="R114:S114"/>
    <mergeCell ref="D119:E119"/>
    <mergeCell ref="K119:L119"/>
    <mergeCell ref="R119:S119"/>
    <mergeCell ref="D137:E137"/>
    <mergeCell ref="K137:L137"/>
    <mergeCell ref="R137:S137"/>
    <mergeCell ref="D117:E117"/>
    <mergeCell ref="K117:L117"/>
    <mergeCell ref="R117:S117"/>
    <mergeCell ref="D118:E118"/>
    <mergeCell ref="K118:L118"/>
    <mergeCell ref="R118:S118"/>
    <mergeCell ref="D140:E140"/>
    <mergeCell ref="K140:L140"/>
    <mergeCell ref="R140:S140"/>
    <mergeCell ref="D141:E141"/>
    <mergeCell ref="K141:L141"/>
    <mergeCell ref="R141:S141"/>
    <mergeCell ref="D138:E138"/>
    <mergeCell ref="K138:L138"/>
    <mergeCell ref="R138:S138"/>
    <mergeCell ref="D139:E139"/>
    <mergeCell ref="K139:L139"/>
    <mergeCell ref="R139:S139"/>
    <mergeCell ref="D144:E144"/>
    <mergeCell ref="K144:L144"/>
    <mergeCell ref="R144:S144"/>
    <mergeCell ref="D162:E162"/>
    <mergeCell ref="K162:L162"/>
    <mergeCell ref="R162:S162"/>
    <mergeCell ref="D142:E142"/>
    <mergeCell ref="K142:L142"/>
    <mergeCell ref="R142:S142"/>
    <mergeCell ref="D143:E143"/>
    <mergeCell ref="K143:L143"/>
    <mergeCell ref="R143:S143"/>
    <mergeCell ref="D165:E165"/>
    <mergeCell ref="K165:L165"/>
    <mergeCell ref="R165:S165"/>
    <mergeCell ref="D166:E166"/>
    <mergeCell ref="K166:L166"/>
    <mergeCell ref="R166:S166"/>
    <mergeCell ref="D163:E163"/>
    <mergeCell ref="K163:L163"/>
    <mergeCell ref="R163:S163"/>
    <mergeCell ref="D164:E164"/>
    <mergeCell ref="K164:L164"/>
    <mergeCell ref="R164:S164"/>
    <mergeCell ref="D169:E169"/>
    <mergeCell ref="K169:L169"/>
    <mergeCell ref="R169:S169"/>
    <mergeCell ref="D187:E187"/>
    <mergeCell ref="K187:L187"/>
    <mergeCell ref="R187:S187"/>
    <mergeCell ref="D167:E167"/>
    <mergeCell ref="K167:L167"/>
    <mergeCell ref="R167:S167"/>
    <mergeCell ref="D168:E168"/>
    <mergeCell ref="K168:L168"/>
    <mergeCell ref="R168:S168"/>
    <mergeCell ref="D190:E190"/>
    <mergeCell ref="K190:L190"/>
    <mergeCell ref="R190:S190"/>
    <mergeCell ref="D191:E191"/>
    <mergeCell ref="K191:L191"/>
    <mergeCell ref="R191:S191"/>
    <mergeCell ref="D188:E188"/>
    <mergeCell ref="K188:L188"/>
    <mergeCell ref="R188:S188"/>
    <mergeCell ref="D189:E189"/>
    <mergeCell ref="K189:L189"/>
    <mergeCell ref="R189:S189"/>
    <mergeCell ref="D194:E194"/>
    <mergeCell ref="K194:L194"/>
    <mergeCell ref="R194:S194"/>
    <mergeCell ref="D212:E212"/>
    <mergeCell ref="K212:L212"/>
    <mergeCell ref="R212:S212"/>
    <mergeCell ref="D192:E192"/>
    <mergeCell ref="K192:L192"/>
    <mergeCell ref="R192:S192"/>
    <mergeCell ref="D193:E193"/>
    <mergeCell ref="K193:L193"/>
    <mergeCell ref="R193:S193"/>
    <mergeCell ref="D215:E215"/>
    <mergeCell ref="K215:L215"/>
    <mergeCell ref="R215:S215"/>
    <mergeCell ref="D216:E216"/>
    <mergeCell ref="K216:L216"/>
    <mergeCell ref="R216:S216"/>
    <mergeCell ref="D213:E213"/>
    <mergeCell ref="K213:L213"/>
    <mergeCell ref="R213:S213"/>
    <mergeCell ref="D214:E214"/>
    <mergeCell ref="K214:L214"/>
    <mergeCell ref="R214:S214"/>
    <mergeCell ref="D219:E219"/>
    <mergeCell ref="K219:L219"/>
    <mergeCell ref="R219:S219"/>
    <mergeCell ref="D237:E237"/>
    <mergeCell ref="K237:L237"/>
    <mergeCell ref="R237:S237"/>
    <mergeCell ref="D217:E217"/>
    <mergeCell ref="K217:L217"/>
    <mergeCell ref="R217:S217"/>
    <mergeCell ref="D218:E218"/>
    <mergeCell ref="K218:L218"/>
    <mergeCell ref="R218:S218"/>
    <mergeCell ref="D240:E240"/>
    <mergeCell ref="K240:L240"/>
    <mergeCell ref="R240:S240"/>
    <mergeCell ref="D241:E241"/>
    <mergeCell ref="K241:L241"/>
    <mergeCell ref="R241:S241"/>
    <mergeCell ref="D238:E238"/>
    <mergeCell ref="K238:L238"/>
    <mergeCell ref="R238:S238"/>
    <mergeCell ref="D239:E239"/>
    <mergeCell ref="K239:L239"/>
    <mergeCell ref="R239:S239"/>
    <mergeCell ref="D244:E244"/>
    <mergeCell ref="K244:L244"/>
    <mergeCell ref="R244:S244"/>
    <mergeCell ref="D262:E262"/>
    <mergeCell ref="K262:L262"/>
    <mergeCell ref="R262:S262"/>
    <mergeCell ref="D242:E242"/>
    <mergeCell ref="K242:L242"/>
    <mergeCell ref="R242:S242"/>
    <mergeCell ref="D243:E243"/>
    <mergeCell ref="K243:L243"/>
    <mergeCell ref="R243:S243"/>
    <mergeCell ref="D265:E265"/>
    <mergeCell ref="K265:L265"/>
    <mergeCell ref="R265:S265"/>
    <mergeCell ref="D266:E266"/>
    <mergeCell ref="K266:L266"/>
    <mergeCell ref="R266:S266"/>
    <mergeCell ref="D263:E263"/>
    <mergeCell ref="K263:L263"/>
    <mergeCell ref="R263:S263"/>
    <mergeCell ref="D264:E264"/>
    <mergeCell ref="K264:L264"/>
    <mergeCell ref="R264:S264"/>
    <mergeCell ref="D269:E269"/>
    <mergeCell ref="K269:L269"/>
    <mergeCell ref="R269:S269"/>
    <mergeCell ref="D287:E287"/>
    <mergeCell ref="K287:L287"/>
    <mergeCell ref="R287:S287"/>
    <mergeCell ref="D267:E267"/>
    <mergeCell ref="K267:L267"/>
    <mergeCell ref="R267:S267"/>
    <mergeCell ref="D268:E268"/>
    <mergeCell ref="K268:L268"/>
    <mergeCell ref="R268:S268"/>
    <mergeCell ref="D290:E290"/>
    <mergeCell ref="K290:L290"/>
    <mergeCell ref="R290:S290"/>
    <mergeCell ref="D291:E291"/>
    <mergeCell ref="K291:L291"/>
    <mergeCell ref="R291:S291"/>
    <mergeCell ref="D288:E288"/>
    <mergeCell ref="K288:L288"/>
    <mergeCell ref="R288:S288"/>
    <mergeCell ref="D289:E289"/>
    <mergeCell ref="K289:L289"/>
    <mergeCell ref="R289:S289"/>
    <mergeCell ref="D294:E294"/>
    <mergeCell ref="K294:L294"/>
    <mergeCell ref="R294:S294"/>
    <mergeCell ref="D437:E437"/>
    <mergeCell ref="K437:L437"/>
    <mergeCell ref="R437:S437"/>
    <mergeCell ref="D292:E292"/>
    <mergeCell ref="K292:L292"/>
    <mergeCell ref="R292:S292"/>
    <mergeCell ref="D293:E293"/>
    <mergeCell ref="K293:L293"/>
    <mergeCell ref="R293:S293"/>
    <mergeCell ref="D316:E316"/>
    <mergeCell ref="K316:L316"/>
    <mergeCell ref="R316:S316"/>
    <mergeCell ref="D317:E317"/>
    <mergeCell ref="K317:L317"/>
    <mergeCell ref="R317:S317"/>
    <mergeCell ref="D318:E318"/>
    <mergeCell ref="K318:L318"/>
    <mergeCell ref="R318:S318"/>
    <mergeCell ref="D319:E319"/>
    <mergeCell ref="K319:L319"/>
    <mergeCell ref="R319:S319"/>
    <mergeCell ref="D440:E440"/>
    <mergeCell ref="K440:L440"/>
    <mergeCell ref="R440:S440"/>
    <mergeCell ref="D441:E441"/>
    <mergeCell ref="K441:L441"/>
    <mergeCell ref="R441:S441"/>
    <mergeCell ref="D438:E438"/>
    <mergeCell ref="K438:L438"/>
    <mergeCell ref="R438:S438"/>
    <mergeCell ref="D439:E439"/>
    <mergeCell ref="K439:L439"/>
    <mergeCell ref="R439:S439"/>
    <mergeCell ref="D444:E444"/>
    <mergeCell ref="K444:L444"/>
    <mergeCell ref="R444:S444"/>
    <mergeCell ref="D442:E442"/>
    <mergeCell ref="K442:L442"/>
    <mergeCell ref="R442:S442"/>
    <mergeCell ref="D443:E443"/>
    <mergeCell ref="K443:L443"/>
    <mergeCell ref="R443:S443"/>
  </mergeCells>
  <dataValidations count="2">
    <dataValidation type="list" allowBlank="1" showInputMessage="1" showErrorMessage="1" sqref="D37:E44 D62:E69 D87:E94 D412:E419 D387:E394 D487:E494 D112:E119 D362:E369 D162:E169 D187:E194 D312:E319 D137:E144 D462:E469 D337:E344 D262:E269 D287:E294 D437:E444 D237:E244 D212:E219 K487:L494 R487:S494 K462:L469 R462:S469 K437:L444 R437:S444 K412:L419 R412:S419 K387:L394 R387:S394 R362:S369 R337:S344 K312:L319 R312:S319 K287:L294 R287:S294 K262:L269 R262:S269 K237:L244 R237:S244 R212:S219 K187:L194 R187:S194 K162:L169 R162:S169 K137:L144 R137:S144 K112:L119 R112:S119 K87:L94 R87:S94 K62:L69 R62:S69 K37:L44 R37:S44 K362:L369 K337:L344 K212:L219">
      <formula1>$BM$7:$BM$106</formula1>
    </dataValidation>
    <dataValidation type="list" allowBlank="1" showInputMessage="1" showErrorMessage="1" sqref="F32 F57 F82 F107 F132 F157 F182 F207 F232 F257 F282 F307 F332 F357 F382 F407 F432 F457 F482">
      <formula1>$BK$7:$BK$9</formula1>
    </dataValidation>
  </dataValidations>
  <pageMargins left="0.7" right="0.7" top="0.78740157499999996" bottom="0.78740157499999996"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outlinePr summaryBelow="0" summaryRight="0"/>
  </sheetPr>
  <dimension ref="A1:AO320"/>
  <sheetViews>
    <sheetView showGridLines="0" zoomScale="60" zoomScaleNormal="60" workbookViewId="0">
      <selection activeCell="A291" sqref="A291"/>
    </sheetView>
  </sheetViews>
  <sheetFormatPr defaultColWidth="11.42578125" defaultRowHeight="15" outlineLevelRow="2" outlineLevelCol="1" x14ac:dyDescent="0.25"/>
  <cols>
    <col min="1" max="1" width="5.85546875" customWidth="1"/>
    <col min="2" max="2" width="0" hidden="1" customWidth="1"/>
    <col min="3" max="3" width="8.140625" customWidth="1"/>
    <col min="4" max="4" width="27.85546875" customWidth="1"/>
    <col min="5" max="5" width="44.7109375" customWidth="1"/>
    <col min="13" max="13" width="13.7109375" customWidth="1"/>
    <col min="14" max="14" width="12" customWidth="1"/>
    <col min="22" max="22" width="6.28515625" customWidth="1" collapsed="1"/>
    <col min="23" max="36" width="11.42578125" hidden="1" customWidth="1" outlineLevel="1"/>
  </cols>
  <sheetData>
    <row r="1" spans="2:41" ht="15.75" thickBot="1" x14ac:dyDescent="0.3">
      <c r="B1" s="201"/>
    </row>
    <row r="2" spans="2:41" ht="51" customHeight="1" thickTop="1" thickBot="1" x14ac:dyDescent="0.3">
      <c r="B2" s="201"/>
      <c r="C2" s="355" t="s">
        <v>893</v>
      </c>
      <c r="D2" s="355"/>
      <c r="E2" s="355"/>
      <c r="F2" s="355"/>
      <c r="G2" s="355"/>
      <c r="H2" s="355"/>
      <c r="I2" s="355"/>
      <c r="J2" s="355"/>
      <c r="K2" s="355"/>
      <c r="L2" s="355"/>
      <c r="M2" s="355"/>
      <c r="N2" s="355"/>
      <c r="O2" s="355"/>
      <c r="P2" s="355"/>
      <c r="Q2" s="355"/>
      <c r="R2" s="355"/>
      <c r="S2" s="355"/>
      <c r="T2" s="355"/>
      <c r="U2" s="355"/>
    </row>
    <row r="3" spans="2:41" ht="15.75" thickTop="1" x14ac:dyDescent="0.25">
      <c r="B3" s="201"/>
      <c r="U3" s="356" t="str">
        <f>Balance!$S$3</f>
        <v>outPHit Manufacturing-Energy-Tool v. 1.0</v>
      </c>
    </row>
    <row r="4" spans="2:41" ht="20.25" x14ac:dyDescent="0.3">
      <c r="B4" s="201"/>
      <c r="C4" s="221" t="s">
        <v>667</v>
      </c>
      <c r="D4" s="16"/>
      <c r="E4" s="16"/>
      <c r="F4" s="231" t="s">
        <v>630</v>
      </c>
      <c r="G4" s="428" t="s">
        <v>624</v>
      </c>
      <c r="H4" s="428"/>
      <c r="I4" s="428"/>
      <c r="J4" s="428"/>
      <c r="K4" s="428"/>
      <c r="L4" s="17"/>
      <c r="W4" s="201"/>
      <c r="X4" s="201"/>
      <c r="Y4" s="201"/>
      <c r="Z4" s="201"/>
      <c r="AA4" s="201"/>
      <c r="AB4" s="201"/>
      <c r="AC4" s="201"/>
      <c r="AD4" s="201"/>
      <c r="AE4" s="201"/>
      <c r="AF4" s="201"/>
      <c r="AG4" s="201"/>
      <c r="AH4" s="201"/>
      <c r="AI4" s="201"/>
      <c r="AJ4" s="201"/>
    </row>
    <row r="5" spans="2:41" x14ac:dyDescent="0.25">
      <c r="B5" s="201"/>
      <c r="C5" s="18"/>
      <c r="D5" s="20"/>
      <c r="E5" s="20"/>
      <c r="F5" s="25" t="str">
        <f>Data!E10</f>
        <v>Gt [kKh/a]</v>
      </c>
      <c r="G5" s="25" t="s">
        <v>625</v>
      </c>
      <c r="H5" s="25" t="s">
        <v>627</v>
      </c>
      <c r="I5" s="25" t="s">
        <v>626</v>
      </c>
      <c r="J5" s="25" t="s">
        <v>628</v>
      </c>
      <c r="K5" s="25" t="s">
        <v>629</v>
      </c>
      <c r="L5" s="19"/>
      <c r="W5" s="201"/>
      <c r="X5" s="201"/>
      <c r="Y5" s="201"/>
      <c r="Z5" s="201"/>
      <c r="AA5" s="201"/>
      <c r="AB5" s="201"/>
      <c r="AC5" s="201"/>
      <c r="AD5" s="201"/>
      <c r="AE5" s="201"/>
      <c r="AF5" s="201"/>
      <c r="AG5" s="201"/>
      <c r="AH5" s="201"/>
      <c r="AI5" s="201"/>
      <c r="AJ5" s="201"/>
    </row>
    <row r="6" spans="2:41" x14ac:dyDescent="0.25">
      <c r="B6" s="201"/>
      <c r="C6" s="18"/>
      <c r="D6" s="229" t="s">
        <v>359</v>
      </c>
      <c r="E6" s="200" t="str">
        <f>Balance!G5</f>
        <v>1-Frankfurt/Main (DE)</v>
      </c>
      <c r="F6" s="137">
        <f>Balance!H6</f>
        <v>79</v>
      </c>
      <c r="G6" s="137">
        <f>VLOOKUP($E$6,Data!$C$11:$K$30,Data!G9,0)</f>
        <v>143.99187199566063</v>
      </c>
      <c r="H6" s="137">
        <f>VLOOKUP($E$6,Data!$C$11:$K$30,Data!H9,0)</f>
        <v>228.20661606277508</v>
      </c>
      <c r="I6" s="137">
        <f>VLOOKUP($E$6,Data!$C$11:$K$30,Data!I9,0)</f>
        <v>372.22417211680505</v>
      </c>
      <c r="J6" s="137">
        <f>VLOOKUP($E$6,Data!$C$11:$K$30,Data!J9,0)</f>
        <v>233.19517153717464</v>
      </c>
      <c r="K6" s="137">
        <f>VLOOKUP($E$6,Data!$C$11:$K$30,Data!K9,0)</f>
        <v>352.16763263942335</v>
      </c>
      <c r="L6" s="19"/>
      <c r="W6" s="201"/>
      <c r="X6" s="201"/>
      <c r="Y6" s="201"/>
      <c r="Z6" s="201"/>
      <c r="AA6" s="201"/>
      <c r="AB6" s="201"/>
      <c r="AC6" s="201"/>
      <c r="AD6" s="201"/>
      <c r="AE6" s="201"/>
      <c r="AF6" s="201"/>
      <c r="AG6" s="201"/>
      <c r="AH6" s="201"/>
      <c r="AI6" s="201"/>
      <c r="AJ6" s="201"/>
    </row>
    <row r="7" spans="2:41" x14ac:dyDescent="0.25">
      <c r="B7" s="201"/>
      <c r="C7" s="18"/>
      <c r="D7" s="230"/>
      <c r="E7" s="20"/>
      <c r="F7" s="20"/>
      <c r="G7" s="20"/>
      <c r="H7" s="20"/>
      <c r="I7" s="20"/>
      <c r="J7" s="20"/>
      <c r="K7" s="20"/>
      <c r="L7" s="19"/>
      <c r="W7" s="201"/>
      <c r="X7" s="201"/>
      <c r="Y7" s="201"/>
      <c r="Z7" s="201"/>
      <c r="AA7" s="201"/>
      <c r="AB7" s="201"/>
      <c r="AC7" s="201"/>
      <c r="AD7" s="201"/>
      <c r="AE7" s="201"/>
      <c r="AF7" s="201"/>
      <c r="AG7" s="201"/>
      <c r="AH7" s="201"/>
      <c r="AI7" s="201"/>
      <c r="AJ7" s="201"/>
    </row>
    <row r="8" spans="2:41" x14ac:dyDescent="0.25">
      <c r="B8" s="201"/>
      <c r="C8" s="18"/>
      <c r="D8" s="230"/>
      <c r="E8" s="20"/>
      <c r="F8" s="20" t="s">
        <v>635</v>
      </c>
      <c r="G8" s="20" t="s">
        <v>636</v>
      </c>
      <c r="H8" s="20" t="s">
        <v>637</v>
      </c>
      <c r="I8" s="20"/>
      <c r="J8" s="20"/>
      <c r="K8" s="20"/>
      <c r="L8" s="19"/>
      <c r="W8" s="201"/>
      <c r="X8" s="201"/>
      <c r="Y8" s="201"/>
      <c r="Z8" s="201"/>
      <c r="AA8" s="201"/>
      <c r="AB8" s="201"/>
      <c r="AC8" s="201"/>
      <c r="AD8" s="201"/>
      <c r="AE8" s="201"/>
      <c r="AF8" s="201"/>
      <c r="AG8" s="201"/>
      <c r="AH8" s="201"/>
      <c r="AI8" s="201"/>
      <c r="AJ8" s="201"/>
    </row>
    <row r="9" spans="2:41" x14ac:dyDescent="0.25">
      <c r="B9" s="201"/>
      <c r="C9" s="18"/>
      <c r="D9" s="229" t="s">
        <v>634</v>
      </c>
      <c r="E9" s="212">
        <f>F9*G9*H9</f>
        <v>0.32300000000000001</v>
      </c>
      <c r="F9" s="79">
        <v>0.4</v>
      </c>
      <c r="G9" s="124">
        <v>0.95</v>
      </c>
      <c r="H9" s="124">
        <v>0.85</v>
      </c>
      <c r="I9" s="20"/>
      <c r="J9" s="20"/>
      <c r="K9" s="20"/>
      <c r="L9" s="19"/>
      <c r="W9" s="201"/>
      <c r="X9" s="201"/>
      <c r="Y9" s="201"/>
      <c r="Z9" s="201"/>
      <c r="AA9" s="201"/>
      <c r="AB9" s="201"/>
      <c r="AC9" s="201"/>
      <c r="AD9" s="201"/>
      <c r="AE9" s="201"/>
      <c r="AF9" s="201"/>
      <c r="AG9" s="201"/>
      <c r="AH9" s="201"/>
      <c r="AI9" s="201"/>
      <c r="AJ9" s="201"/>
    </row>
    <row r="10" spans="2:41" x14ac:dyDescent="0.25">
      <c r="B10" s="201"/>
      <c r="C10" s="21"/>
      <c r="D10" s="22"/>
      <c r="E10" s="22"/>
      <c r="F10" s="22"/>
      <c r="G10" s="22"/>
      <c r="H10" s="22"/>
      <c r="I10" s="22"/>
      <c r="J10" s="22"/>
      <c r="K10" s="22"/>
      <c r="L10" s="23"/>
      <c r="W10" s="201"/>
      <c r="X10" s="201"/>
      <c r="Y10" s="201"/>
      <c r="Z10" s="201"/>
      <c r="AA10" s="201"/>
      <c r="AB10" s="201"/>
      <c r="AC10" s="201"/>
      <c r="AD10" s="201"/>
      <c r="AE10" s="201"/>
      <c r="AF10" s="201"/>
      <c r="AG10" s="201"/>
      <c r="AH10" s="201"/>
      <c r="AI10" s="201"/>
      <c r="AJ10" s="201"/>
    </row>
    <row r="11" spans="2:41" x14ac:dyDescent="0.25">
      <c r="B11" s="201"/>
      <c r="W11" s="201"/>
      <c r="X11" s="201"/>
      <c r="Y11" s="201"/>
      <c r="Z11" s="201"/>
      <c r="AA11" s="201"/>
      <c r="AB11" s="201"/>
      <c r="AC11" s="201"/>
      <c r="AD11" s="201"/>
      <c r="AE11" s="201"/>
      <c r="AF11" s="201"/>
      <c r="AG11" s="201"/>
      <c r="AH11" s="201"/>
      <c r="AI11" s="201"/>
      <c r="AJ11" s="201"/>
    </row>
    <row r="12" spans="2:41" x14ac:dyDescent="0.25">
      <c r="B12" s="201"/>
      <c r="W12" s="201"/>
      <c r="X12" s="201"/>
      <c r="Y12" s="201"/>
      <c r="Z12" s="201"/>
      <c r="AA12" s="201"/>
      <c r="AB12" s="201"/>
      <c r="AC12" s="201"/>
      <c r="AD12" s="201"/>
      <c r="AE12" s="201"/>
      <c r="AF12" s="201"/>
      <c r="AG12" s="201"/>
      <c r="AH12" s="201"/>
      <c r="AI12" s="201"/>
      <c r="AJ12" s="201"/>
    </row>
    <row r="13" spans="2:41" ht="20.25" x14ac:dyDescent="0.3">
      <c r="B13" s="201"/>
      <c r="C13" s="221" t="s">
        <v>561</v>
      </c>
      <c r="D13" s="16"/>
      <c r="E13" s="16"/>
      <c r="F13" s="16"/>
      <c r="G13" s="16"/>
      <c r="H13" s="16"/>
      <c r="I13" s="16"/>
      <c r="J13" s="16"/>
      <c r="K13" s="16"/>
      <c r="L13" s="16"/>
      <c r="M13" s="428" t="s">
        <v>638</v>
      </c>
      <c r="N13" s="428"/>
      <c r="O13" s="16" t="s">
        <v>640</v>
      </c>
      <c r="P13" s="428" t="s">
        <v>640</v>
      </c>
      <c r="Q13" s="428"/>
      <c r="R13" s="428" t="s">
        <v>352</v>
      </c>
      <c r="S13" s="428"/>
      <c r="T13" s="17"/>
      <c r="W13" s="201" t="s">
        <v>642</v>
      </c>
      <c r="X13" s="201" t="s">
        <v>643</v>
      </c>
      <c r="Y13" s="201" t="s">
        <v>644</v>
      </c>
      <c r="Z13" s="214" t="s">
        <v>645</v>
      </c>
      <c r="AA13" s="201" t="s">
        <v>374</v>
      </c>
      <c r="AB13" s="201"/>
      <c r="AC13" s="201"/>
      <c r="AD13" s="201"/>
      <c r="AE13" s="214"/>
      <c r="AF13" s="201" t="s">
        <v>149</v>
      </c>
      <c r="AG13" s="201"/>
      <c r="AH13" s="201"/>
      <c r="AI13" s="201"/>
      <c r="AJ13" s="214"/>
    </row>
    <row r="14" spans="2:41" x14ac:dyDescent="0.25">
      <c r="B14" s="201"/>
      <c r="C14" s="222" t="s">
        <v>364</v>
      </c>
      <c r="D14" s="223" t="s">
        <v>187</v>
      </c>
      <c r="E14" s="223" t="s">
        <v>613</v>
      </c>
      <c r="F14" s="224" t="s">
        <v>602</v>
      </c>
      <c r="G14" s="224" t="s">
        <v>603</v>
      </c>
      <c r="H14" s="224" t="s">
        <v>601</v>
      </c>
      <c r="I14" s="224" t="s">
        <v>639</v>
      </c>
      <c r="J14" s="224" t="s">
        <v>598</v>
      </c>
      <c r="K14" s="224" t="s">
        <v>600</v>
      </c>
      <c r="L14" s="224" t="s">
        <v>599</v>
      </c>
      <c r="M14" s="224" t="s">
        <v>404</v>
      </c>
      <c r="N14" s="224" t="s">
        <v>149</v>
      </c>
      <c r="O14" s="224" t="s">
        <v>641</v>
      </c>
      <c r="P14" s="224" t="s">
        <v>404</v>
      </c>
      <c r="Q14" s="224" t="s">
        <v>149</v>
      </c>
      <c r="R14" s="224" t="s">
        <v>404</v>
      </c>
      <c r="S14" s="224" t="s">
        <v>149</v>
      </c>
      <c r="T14" s="19"/>
      <c r="W14" s="201"/>
      <c r="X14" s="201"/>
      <c r="Y14" s="201"/>
      <c r="Z14" s="214"/>
      <c r="AA14" s="215" t="str">
        <f>Balance!$G$16</f>
        <v>Heat pump</v>
      </c>
      <c r="AB14" s="215" t="str">
        <f>Data!$D$4</f>
        <v>Heat pump</v>
      </c>
      <c r="AC14" s="215" t="str">
        <f>Data!$D$5</f>
        <v>Direct electric</v>
      </c>
      <c r="AD14" s="215" t="str">
        <f>Data!$D$6</f>
        <v>Gas boiler</v>
      </c>
      <c r="AE14" s="216" t="str">
        <f>Data!$D$7</f>
        <v>Biomass</v>
      </c>
      <c r="AF14" s="215" t="str">
        <f>Balance!$G$16</f>
        <v>Heat pump</v>
      </c>
      <c r="AG14" s="215" t="str">
        <f>Data!$D$4</f>
        <v>Heat pump</v>
      </c>
      <c r="AH14" s="215" t="str">
        <f>Data!$D$5</f>
        <v>Direct electric</v>
      </c>
      <c r="AI14" s="215" t="str">
        <f>Data!$D$6</f>
        <v>Gas boiler</v>
      </c>
      <c r="AJ14" s="216" t="str">
        <f>Data!$D$7</f>
        <v>Biomass</v>
      </c>
    </row>
    <row r="15" spans="2:41" ht="15.75" thickBot="1" x14ac:dyDescent="0.3">
      <c r="B15" s="201"/>
      <c r="C15" s="225"/>
      <c r="D15" s="20"/>
      <c r="E15" s="20"/>
      <c r="F15" s="226" t="s">
        <v>605</v>
      </c>
      <c r="G15" s="226" t="s">
        <v>604</v>
      </c>
      <c r="H15" s="226" t="s">
        <v>344</v>
      </c>
      <c r="I15" s="226" t="s">
        <v>344</v>
      </c>
      <c r="J15" s="226"/>
      <c r="K15" s="226" t="s">
        <v>344</v>
      </c>
      <c r="L15" s="226"/>
      <c r="M15" s="120" t="s">
        <v>608</v>
      </c>
      <c r="N15" s="120" t="s">
        <v>609</v>
      </c>
      <c r="O15" s="20"/>
      <c r="P15" s="120" t="s">
        <v>608</v>
      </c>
      <c r="Q15" s="120" t="s">
        <v>609</v>
      </c>
      <c r="R15" s="120" t="s">
        <v>608</v>
      </c>
      <c r="S15" s="120" t="s">
        <v>609</v>
      </c>
      <c r="T15" s="19"/>
      <c r="W15" s="201"/>
      <c r="X15" s="201"/>
      <c r="Y15" s="201"/>
      <c r="Z15" s="214"/>
      <c r="AA15" s="201"/>
      <c r="AB15" s="201"/>
      <c r="AC15" s="201"/>
      <c r="AD15" s="201"/>
      <c r="AE15" s="214"/>
      <c r="AF15" s="201"/>
      <c r="AG15" s="201"/>
      <c r="AH15" s="201"/>
      <c r="AI15" s="201"/>
      <c r="AJ15" s="214"/>
      <c r="AL15" s="196"/>
      <c r="AM15" s="220" t="s">
        <v>559</v>
      </c>
      <c r="AN15" s="220" t="s">
        <v>560</v>
      </c>
      <c r="AO15" s="220" t="s">
        <v>558</v>
      </c>
    </row>
    <row r="16" spans="2:41" hidden="1" x14ac:dyDescent="0.25">
      <c r="B16" s="201"/>
      <c r="C16" s="269">
        <v>2</v>
      </c>
      <c r="D16" s="228">
        <f>COLUMN()-$C$16</f>
        <v>2</v>
      </c>
      <c r="E16" s="228">
        <f t="shared" ref="E16:S16" si="0">COLUMN()-$C$16</f>
        <v>3</v>
      </c>
      <c r="F16" s="228">
        <f t="shared" si="0"/>
        <v>4</v>
      </c>
      <c r="G16" s="228">
        <f t="shared" si="0"/>
        <v>5</v>
      </c>
      <c r="H16" s="228">
        <f t="shared" si="0"/>
        <v>6</v>
      </c>
      <c r="I16" s="228">
        <f t="shared" si="0"/>
        <v>7</v>
      </c>
      <c r="J16" s="228">
        <f t="shared" si="0"/>
        <v>8</v>
      </c>
      <c r="K16" s="228">
        <f t="shared" si="0"/>
        <v>9</v>
      </c>
      <c r="L16" s="228">
        <f t="shared" si="0"/>
        <v>10</v>
      </c>
      <c r="M16" s="228">
        <f t="shared" si="0"/>
        <v>11</v>
      </c>
      <c r="N16" s="228">
        <f t="shared" si="0"/>
        <v>12</v>
      </c>
      <c r="O16" s="228">
        <f t="shared" si="0"/>
        <v>13</v>
      </c>
      <c r="P16" s="228">
        <f t="shared" si="0"/>
        <v>14</v>
      </c>
      <c r="Q16" s="228">
        <f t="shared" si="0"/>
        <v>15</v>
      </c>
      <c r="R16" s="228">
        <f t="shared" si="0"/>
        <v>16</v>
      </c>
      <c r="S16" s="228">
        <f t="shared" si="0"/>
        <v>17</v>
      </c>
      <c r="T16" s="214"/>
      <c r="U16" s="201"/>
      <c r="V16" s="201"/>
      <c r="W16" s="201"/>
      <c r="X16" s="201"/>
      <c r="Y16" s="201"/>
      <c r="Z16" s="214"/>
      <c r="AA16" s="201"/>
      <c r="AB16" s="201"/>
      <c r="AC16" s="201"/>
      <c r="AD16" s="201"/>
      <c r="AE16" s="214"/>
      <c r="AF16" s="201"/>
      <c r="AG16" s="201"/>
      <c r="AH16" s="201"/>
      <c r="AI16" s="201"/>
      <c r="AJ16" s="214"/>
      <c r="AL16" s="288"/>
      <c r="AM16" s="289"/>
      <c r="AN16" s="289"/>
      <c r="AO16" s="289"/>
    </row>
    <row r="17" spans="1:41" x14ac:dyDescent="0.25">
      <c r="A17" t="str">
        <f>C17&amp;" "&amp;D17</f>
        <v>01 Single glazing</v>
      </c>
      <c r="B17" s="201" t="str">
        <f>C17&amp;" "&amp;D17</f>
        <v>01 Single glazing</v>
      </c>
      <c r="C17" s="225" t="str">
        <f>TEXT(1,"00")</f>
        <v>01</v>
      </c>
      <c r="D17" s="213" t="s">
        <v>606</v>
      </c>
      <c r="E17" s="133" t="s">
        <v>606</v>
      </c>
      <c r="F17" s="79">
        <v>5</v>
      </c>
      <c r="G17" s="79">
        <v>0.9</v>
      </c>
      <c r="H17" s="137">
        <f t="shared" ref="H17:H26" si="1">VLOOKUP(E17,$D$31:$M$40,$J$28,0)</f>
        <v>4</v>
      </c>
      <c r="I17" s="94"/>
      <c r="J17" s="137" t="str">
        <f t="shared" ref="J17:J26" si="2">VLOOKUP(E17,$D$31:$M$40,$K$28,0)</f>
        <v>None</v>
      </c>
      <c r="K17" s="137">
        <f t="shared" ref="K17:K26" si="3">VLOOKUP(E17,$D$31:$M$40,$L$28,0)</f>
        <v>0</v>
      </c>
      <c r="L17" s="137" t="str">
        <f t="shared" ref="L17:L26" si="4">VLOOKUP(E17,$D$31:$M$40,$M$28,0)</f>
        <v>None</v>
      </c>
      <c r="M17" s="140">
        <f>VLOOKUP(E17,$D$31:$O$40,$N$28,0)+$N$31*I17/$J$31</f>
        <v>25.102385106774733</v>
      </c>
      <c r="N17" s="140">
        <f t="shared" ref="N17:N26" si="5">VLOOKUP(E17,$D$31:$O$40,$O$28,0)+$O$31*I17/$J$31</f>
        <v>6.7287035639046495</v>
      </c>
      <c r="O17" s="94" t="s">
        <v>627</v>
      </c>
      <c r="P17" s="140">
        <f>AA17*Balance!$H$13</f>
        <v>4382.1378228073509</v>
      </c>
      <c r="Q17" s="140">
        <f ca="1">AF17*Balance!$H$13</f>
        <v>827.73714430805512</v>
      </c>
      <c r="R17" s="209">
        <f>P17+M17</f>
        <v>4407.2402079141257</v>
      </c>
      <c r="S17" s="209">
        <f ca="1">Q17+N17</f>
        <v>834.4658478719598</v>
      </c>
      <c r="T17" s="19"/>
      <c r="W17" s="217">
        <f>F17*$F$6</f>
        <v>395</v>
      </c>
      <c r="X17" s="205">
        <f>HLOOKUP(O17,$G$5:$K$6,2,0)</f>
        <v>228.20661606277508</v>
      </c>
      <c r="Y17" s="217">
        <f>X17*$E$9*G17</f>
        <v>66.339663289448723</v>
      </c>
      <c r="Z17" s="218">
        <f>W17-Y17</f>
        <v>328.66033671055129</v>
      </c>
      <c r="AA17" s="219">
        <f>IF($AA$14=$AB$14,AB17,IF($AA$14=$AC$14,AC17,IF($AA$14=$AD$14,AD17,IF($AA$14=$AE$14,AE17,"Error"))))</f>
        <v>219.10689114036754</v>
      </c>
      <c r="AB17" s="217">
        <f>Z17/(Balance!$H$17*Balance!$H$18*Balance!$H$19)*Balance!$H$22</f>
        <v>219.10689114036754</v>
      </c>
      <c r="AC17" s="217">
        <f>Z17/Balance!$H$18*Balance!$H$22</f>
        <v>591.58860607899237</v>
      </c>
      <c r="AD17" s="217">
        <f>Z17/(Balance!$H$18*Balance!$H$19)*Balance!$H$23</f>
        <v>639.06176582607191</v>
      </c>
      <c r="AE17" s="218">
        <f>Z17/(Balance!$H$18*Balance!$H$19)*Balance!$H$24</f>
        <v>401.69596709067383</v>
      </c>
      <c r="AF17" s="219">
        <f ca="1">IF($AF$14=$AG$14,AG17,IF($AF$14=$AH$14,AH17,IF($AF$14=$AI$14,AI17,IF($AF$14=$AJ$14,AJ17,"Error"))))</f>
        <v>41.386857215402756</v>
      </c>
      <c r="AG17" s="217">
        <f ca="1">Z17/(Balance!$H$17*Balance!$H$18*Balance!$H$19)*Balance!$G$22/1000</f>
        <v>41.386857215402756</v>
      </c>
      <c r="AH17" s="217">
        <f ca="1">Z17/Balance!$H$18*Balance!$G$22/1000</f>
        <v>111.74451448158744</v>
      </c>
      <c r="AI17" s="217">
        <f ca="1">Z17/(Balance!$H$18*Balance!$H$19)*Balance!$G$23/1000</f>
        <v>91.077170027593212</v>
      </c>
      <c r="AJ17" s="218">
        <f ca="1">Z17/(Balance!$H$18*Balance!$H$19)*Balance!$G$24/1000</f>
        <v>7.7600357278880168</v>
      </c>
      <c r="AL17" s="195" t="str">
        <f>D17</f>
        <v>Single glazing</v>
      </c>
      <c r="AM17" s="195">
        <f>M17</f>
        <v>25.102385106774733</v>
      </c>
      <c r="AN17" s="195">
        <f>P17</f>
        <v>4382.1378228073509</v>
      </c>
      <c r="AO17" s="195">
        <f ca="1">S17</f>
        <v>834.4658478719598</v>
      </c>
    </row>
    <row r="18" spans="1:41" x14ac:dyDescent="0.25">
      <c r="A18" t="str">
        <f t="shared" ref="A18:A23" si="6">C18&amp;" "&amp;D18</f>
        <v>02 Double glazing</v>
      </c>
      <c r="B18" s="201" t="str">
        <f t="shared" ref="B18:B26" si="7">C18&amp;" "&amp;D18</f>
        <v>02 Double glazing</v>
      </c>
      <c r="C18" s="225" t="str">
        <f>TEXT(1+C17,"00")</f>
        <v>02</v>
      </c>
      <c r="D18" s="213" t="s">
        <v>648</v>
      </c>
      <c r="E18" s="133" t="s">
        <v>646</v>
      </c>
      <c r="F18" s="79">
        <v>2.8</v>
      </c>
      <c r="G18" s="79">
        <v>0.86</v>
      </c>
      <c r="H18" s="137">
        <f t="shared" si="1"/>
        <v>8</v>
      </c>
      <c r="I18" s="94"/>
      <c r="J18" s="137" t="str">
        <f t="shared" si="2"/>
        <v>None</v>
      </c>
      <c r="K18" s="137">
        <f t="shared" si="3"/>
        <v>16</v>
      </c>
      <c r="L18" s="137" t="str">
        <f t="shared" si="4"/>
        <v>Warm edge</v>
      </c>
      <c r="M18" s="140">
        <f t="shared" ref="M18:M26" si="8">VLOOKUP(E18,$D$31:$O$40,$N$28,0)+$N$31*I18/$J$31</f>
        <v>50.204770213549466</v>
      </c>
      <c r="N18" s="140">
        <f t="shared" si="5"/>
        <v>13.457407127809299</v>
      </c>
      <c r="O18" s="94" t="s">
        <v>627</v>
      </c>
      <c r="P18" s="140">
        <f>AA18*Balance!$H$13</f>
        <v>2104.1168825344307</v>
      </c>
      <c r="Q18" s="140">
        <f ca="1">AF18*Balance!$H$13</f>
        <v>397.44430003428141</v>
      </c>
      <c r="R18" s="209">
        <f t="shared" ref="R18:R25" si="9">P18+M18</f>
        <v>2154.3216527479804</v>
      </c>
      <c r="S18" s="209">
        <f t="shared" ref="S18:S25" ca="1" si="10">Q18+N18</f>
        <v>410.9017071620907</v>
      </c>
      <c r="T18" s="19"/>
      <c r="W18" s="217">
        <f t="shared" ref="W18:W25" si="11">F18*$F$6</f>
        <v>221.2</v>
      </c>
      <c r="X18" s="205">
        <f t="shared" ref="X18:X25" si="12">HLOOKUP(O18,$G$5:$K$6,2,0)</f>
        <v>228.20661606277508</v>
      </c>
      <c r="Y18" s="217">
        <f t="shared" ref="Y18:Y25" si="13">X18*$E$9*G18</f>
        <v>63.391233809917665</v>
      </c>
      <c r="Z18" s="218">
        <f t="shared" ref="Z18:Z25" si="14">W18-Y18</f>
        <v>157.80876619008234</v>
      </c>
      <c r="AA18" s="219">
        <f t="shared" ref="AA18:AA26" si="15">IF($AA$14=$AB$14,AB18,IF($AA$14=$AC$14,AC18,IF($AA$14=$AD$14,AD18,IF($AA$14=$AE$14,AE18,"Error"))))</f>
        <v>105.20584412672154</v>
      </c>
      <c r="AB18" s="217">
        <f>Z18/(Balance!$H$17*Balance!$H$18*Balance!$H$19)*Balance!$H$22</f>
        <v>105.20584412672154</v>
      </c>
      <c r="AC18" s="217">
        <f>Z18/Balance!$H$18*Balance!$H$22</f>
        <v>284.0557791421482</v>
      </c>
      <c r="AD18" s="217">
        <f>Z18/(Balance!$H$18*Balance!$H$19)*Balance!$H$23</f>
        <v>306.85037870293792</v>
      </c>
      <c r="AE18" s="218">
        <f>Z18/(Balance!$H$18*Balance!$H$19)*Balance!$H$24</f>
        <v>192.87738089898954</v>
      </c>
      <c r="AF18" s="219">
        <f t="shared" ref="AF18:AF26" ca="1" si="16">IF($AF$14=$AG$14,AG18,IF($AF$14=$AH$14,AH18,IF($AF$14=$AI$14,AI18,IF($AF$14=$AJ$14,AJ18,"Error"))))</f>
        <v>19.872215001714071</v>
      </c>
      <c r="AG18" s="217">
        <f ca="1">Z18/(Balance!$H$17*Balance!$H$18*Balance!$H$19)*Balance!$G$22/1000</f>
        <v>19.872215001714071</v>
      </c>
      <c r="AH18" s="217">
        <f ca="1">Z18/Balance!$H$18*Balance!$G$22/1000</f>
        <v>53.654980504627993</v>
      </c>
      <c r="AI18" s="217">
        <f ca="1">Z18/(Balance!$H$18*Balance!$H$19)*Balance!$G$23/1000</f>
        <v>43.731397509024127</v>
      </c>
      <c r="AJ18" s="218">
        <f ca="1">Z18/(Balance!$H$18*Balance!$H$19)*Balance!$G$24/1000</f>
        <v>3.726040312821389</v>
      </c>
      <c r="AL18" s="27" t="str">
        <f t="shared" ref="AL18:AL26" si="17">D18</f>
        <v>Double glazing</v>
      </c>
      <c r="AM18" s="194">
        <f t="shared" ref="AM18:AM26" si="18">M18</f>
        <v>50.204770213549466</v>
      </c>
      <c r="AN18" s="194">
        <f t="shared" ref="AN18:AN26" si="19">P18</f>
        <v>2104.1168825344307</v>
      </c>
      <c r="AO18" s="194">
        <f t="shared" ref="AO18:AO26" ca="1" si="20">S18</f>
        <v>410.9017071620907</v>
      </c>
    </row>
    <row r="19" spans="1:41" x14ac:dyDescent="0.25">
      <c r="A19" t="str">
        <f t="shared" si="6"/>
        <v>03 Double low-e</v>
      </c>
      <c r="B19" s="201" t="str">
        <f t="shared" si="7"/>
        <v>03 Double low-e</v>
      </c>
      <c r="C19" s="225" t="str">
        <f t="shared" ref="C19:C25" si="21">TEXT(1+C18,"00")</f>
        <v>03</v>
      </c>
      <c r="D19" s="213" t="s">
        <v>649</v>
      </c>
      <c r="E19" s="133" t="s">
        <v>631</v>
      </c>
      <c r="F19" s="79">
        <v>1.1200000000000001</v>
      </c>
      <c r="G19" s="79">
        <v>0.64</v>
      </c>
      <c r="H19" s="137">
        <f t="shared" si="1"/>
        <v>8</v>
      </c>
      <c r="I19" s="94"/>
      <c r="J19" s="137" t="str">
        <f t="shared" si="2"/>
        <v>Argon</v>
      </c>
      <c r="K19" s="137">
        <f t="shared" si="3"/>
        <v>16</v>
      </c>
      <c r="L19" s="137" t="str">
        <f t="shared" si="4"/>
        <v>Warm edge</v>
      </c>
      <c r="M19" s="140">
        <f t="shared" si="8"/>
        <v>406.72908778503734</v>
      </c>
      <c r="N19" s="140">
        <f t="shared" si="5"/>
        <v>112.40934485111011</v>
      </c>
      <c r="O19" s="94" t="s">
        <v>627</v>
      </c>
      <c r="P19" s="140">
        <f>AA19*Balance!$H$13</f>
        <v>550.73504436670851</v>
      </c>
      <c r="Q19" s="140">
        <f ca="1">AF19*Balance!$H$13</f>
        <v>104.02773060260049</v>
      </c>
      <c r="R19" s="209">
        <f t="shared" si="9"/>
        <v>957.46413215174584</v>
      </c>
      <c r="S19" s="209">
        <f t="shared" ca="1" si="10"/>
        <v>216.43707545371058</v>
      </c>
      <c r="T19" s="19"/>
      <c r="W19" s="217">
        <f t="shared" si="11"/>
        <v>88.48</v>
      </c>
      <c r="X19" s="205">
        <f t="shared" si="12"/>
        <v>228.20661606277508</v>
      </c>
      <c r="Y19" s="217">
        <f t="shared" si="13"/>
        <v>47.174871672496863</v>
      </c>
      <c r="Z19" s="218">
        <f t="shared" si="14"/>
        <v>41.305128327503141</v>
      </c>
      <c r="AA19" s="219">
        <f t="shared" si="15"/>
        <v>27.536752218335426</v>
      </c>
      <c r="AB19" s="217">
        <f>Z19/(Balance!$H$17*Balance!$H$18*Balance!$H$19)*Balance!$H$22</f>
        <v>27.536752218335426</v>
      </c>
      <c r="AC19" s="217">
        <f>Z19/Balance!$H$18*Balance!$H$22</f>
        <v>74.349230989505656</v>
      </c>
      <c r="AD19" s="217">
        <f>Z19/(Balance!$H$18*Balance!$H$19)*Balance!$H$23</f>
        <v>80.315527303478333</v>
      </c>
      <c r="AE19" s="218">
        <f>Z19/(Balance!$H$18*Balance!$H$19)*Balance!$H$24</f>
        <v>50.484045733614956</v>
      </c>
      <c r="AF19" s="219">
        <f t="shared" ca="1" si="16"/>
        <v>5.2013865301300246</v>
      </c>
      <c r="AG19" s="217">
        <f ca="1">Z19/(Balance!$H$17*Balance!$H$18*Balance!$H$19)*Balance!$G$22/1000</f>
        <v>5.2013865301300246</v>
      </c>
      <c r="AH19" s="217">
        <f ca="1">Z19/Balance!$H$18*Balance!$G$22/1000</f>
        <v>14.043743631351068</v>
      </c>
      <c r="AI19" s="217">
        <f ca="1">Z19/(Balance!$H$18*Balance!$H$19)*Balance!$G$23/1000</f>
        <v>11.446328551073949</v>
      </c>
      <c r="AJ19" s="218">
        <f ca="1">Z19/(Balance!$H$18*Balance!$H$19)*Balance!$G$24/1000</f>
        <v>0.97525997439937961</v>
      </c>
      <c r="AL19" s="27" t="str">
        <f t="shared" si="17"/>
        <v>Double low-e</v>
      </c>
      <c r="AM19" s="194">
        <f t="shared" si="18"/>
        <v>406.72908778503734</v>
      </c>
      <c r="AN19" s="194">
        <f t="shared" si="19"/>
        <v>550.73504436670851</v>
      </c>
      <c r="AO19" s="194">
        <f t="shared" ca="1" si="20"/>
        <v>216.43707545371058</v>
      </c>
    </row>
    <row r="20" spans="1:41" x14ac:dyDescent="0.25">
      <c r="A20" t="str">
        <f t="shared" si="6"/>
        <v>04 Triple low-e (solar)</v>
      </c>
      <c r="B20" s="201" t="str">
        <f t="shared" si="7"/>
        <v>04 Triple low-e (solar)</v>
      </c>
      <c r="C20" s="225" t="str">
        <f t="shared" si="21"/>
        <v>04</v>
      </c>
      <c r="D20" s="213" t="s">
        <v>650</v>
      </c>
      <c r="E20" s="133" t="s">
        <v>632</v>
      </c>
      <c r="F20" s="79">
        <v>0.64</v>
      </c>
      <c r="G20" s="79">
        <v>0.62</v>
      </c>
      <c r="H20" s="137">
        <f t="shared" si="1"/>
        <v>12</v>
      </c>
      <c r="I20" s="94"/>
      <c r="J20" s="137" t="str">
        <f t="shared" si="2"/>
        <v>Argon</v>
      </c>
      <c r="K20" s="137">
        <f t="shared" si="3"/>
        <v>32</v>
      </c>
      <c r="L20" s="137" t="str">
        <f t="shared" si="4"/>
        <v>Warm edge</v>
      </c>
      <c r="M20" s="140">
        <f t="shared" si="8"/>
        <v>197.42970646159353</v>
      </c>
      <c r="N20" s="140">
        <f t="shared" si="5"/>
        <v>53.566323200912777</v>
      </c>
      <c r="O20" s="94" t="s">
        <v>627</v>
      </c>
      <c r="P20" s="140">
        <f>AA20*Balance!$H$13</f>
        <v>64.791240896915468</v>
      </c>
      <c r="Q20" s="140">
        <f ca="1">AF20*Balance!$H$13</f>
        <v>12.238345502750699</v>
      </c>
      <c r="R20" s="209">
        <f t="shared" si="9"/>
        <v>262.22094735850897</v>
      </c>
      <c r="S20" s="209">
        <f t="shared" ca="1" si="10"/>
        <v>65.804668703663481</v>
      </c>
      <c r="T20" s="19"/>
      <c r="W20" s="217">
        <f t="shared" si="11"/>
        <v>50.56</v>
      </c>
      <c r="X20" s="205">
        <f t="shared" si="12"/>
        <v>228.20661606277508</v>
      </c>
      <c r="Y20" s="217">
        <f t="shared" si="13"/>
        <v>45.700656932731341</v>
      </c>
      <c r="Z20" s="218">
        <f t="shared" si="14"/>
        <v>4.8593430672686608</v>
      </c>
      <c r="AA20" s="219">
        <f t="shared" si="15"/>
        <v>3.2395620448457736</v>
      </c>
      <c r="AB20" s="217">
        <f>Z20/(Balance!$H$17*Balance!$H$18*Balance!$H$19)*Balance!$H$22</f>
        <v>3.2395620448457736</v>
      </c>
      <c r="AC20" s="217">
        <f>Z20/Balance!$H$18*Balance!$H$22</f>
        <v>8.7468175210835906</v>
      </c>
      <c r="AD20" s="217">
        <f>Z20/(Balance!$H$18*Balance!$H$19)*Balance!$H$23</f>
        <v>9.4487226308001731</v>
      </c>
      <c r="AE20" s="218">
        <f>Z20/(Balance!$H$18*Balance!$H$19)*Balance!$H$24</f>
        <v>5.9391970822172526</v>
      </c>
      <c r="AF20" s="219">
        <f t="shared" ca="1" si="16"/>
        <v>0.61191727513753491</v>
      </c>
      <c r="AG20" s="217">
        <f ca="1">Z20/(Balance!$H$17*Balance!$H$18*Balance!$H$19)*Balance!$G$22/1000</f>
        <v>0.61191727513753491</v>
      </c>
      <c r="AH20" s="217">
        <f ca="1">Z20/Balance!$H$18*Balance!$G$22/1000</f>
        <v>1.6521766428713447</v>
      </c>
      <c r="AI20" s="217">
        <f ca="1">Z20/(Balance!$H$18*Balance!$H$19)*Balance!$G$23/1000</f>
        <v>1.3466036674507724</v>
      </c>
      <c r="AJ20" s="218">
        <f ca="1">Z20/(Balance!$H$18*Balance!$H$19)*Balance!$G$24/1000</f>
        <v>0.11473448908828782</v>
      </c>
      <c r="AL20" s="27" t="str">
        <f t="shared" si="17"/>
        <v>Triple low-e (solar)</v>
      </c>
      <c r="AM20" s="194">
        <f t="shared" si="18"/>
        <v>197.42970646159353</v>
      </c>
      <c r="AN20" s="194">
        <f t="shared" si="19"/>
        <v>64.791240896915468</v>
      </c>
      <c r="AO20" s="194">
        <f t="shared" ca="1" si="20"/>
        <v>65.804668703663481</v>
      </c>
    </row>
    <row r="21" spans="1:41" x14ac:dyDescent="0.25">
      <c r="A21" t="str">
        <f t="shared" si="6"/>
        <v>05 Triple low-e (U)</v>
      </c>
      <c r="B21" s="201" t="str">
        <f t="shared" si="7"/>
        <v>05 Triple low-e (U)</v>
      </c>
      <c r="C21" s="225" t="str">
        <f t="shared" si="21"/>
        <v>05</v>
      </c>
      <c r="D21" s="213" t="s">
        <v>653</v>
      </c>
      <c r="E21" s="133" t="s">
        <v>632</v>
      </c>
      <c r="F21" s="79">
        <v>0.48</v>
      </c>
      <c r="G21" s="79">
        <v>0.43</v>
      </c>
      <c r="H21" s="137">
        <f t="shared" si="1"/>
        <v>12</v>
      </c>
      <c r="I21" s="94"/>
      <c r="J21" s="137" t="str">
        <f t="shared" si="2"/>
        <v>Argon</v>
      </c>
      <c r="K21" s="137">
        <f t="shared" si="3"/>
        <v>32</v>
      </c>
      <c r="L21" s="137" t="str">
        <f t="shared" si="4"/>
        <v>Warm edge</v>
      </c>
      <c r="M21" s="140">
        <f t="shared" si="8"/>
        <v>197.42970646159353</v>
      </c>
      <c r="N21" s="140">
        <f t="shared" si="5"/>
        <v>53.566323200912777</v>
      </c>
      <c r="O21" s="94" t="s">
        <v>627</v>
      </c>
      <c r="P21" s="140">
        <f>AA21*Balance!$H$13</f>
        <v>82.991774600548922</v>
      </c>
      <c r="Q21" s="140">
        <f ca="1">AF21*Balance!$H$13</f>
        <v>15.676224091214795</v>
      </c>
      <c r="R21" s="209">
        <f t="shared" si="9"/>
        <v>280.42148106214245</v>
      </c>
      <c r="S21" s="209">
        <f t="shared" ca="1" si="10"/>
        <v>69.242547292127568</v>
      </c>
      <c r="T21" s="19"/>
      <c r="W21" s="217">
        <f t="shared" si="11"/>
        <v>37.92</v>
      </c>
      <c r="X21" s="205">
        <f t="shared" si="12"/>
        <v>228.20661606277508</v>
      </c>
      <c r="Y21" s="217">
        <f t="shared" si="13"/>
        <v>31.695616904958833</v>
      </c>
      <c r="Z21" s="218">
        <f t="shared" si="14"/>
        <v>6.2243830950411692</v>
      </c>
      <c r="AA21" s="219">
        <f t="shared" si="15"/>
        <v>4.1495887300274461</v>
      </c>
      <c r="AB21" s="217">
        <f>Z21/(Balance!$H$17*Balance!$H$18*Balance!$H$19)*Balance!$H$22</f>
        <v>4.1495887300274461</v>
      </c>
      <c r="AC21" s="217">
        <f>Z21/Balance!$H$18*Balance!$H$22</f>
        <v>11.203889571074106</v>
      </c>
      <c r="AD21" s="217">
        <f>Z21/(Balance!$H$18*Balance!$H$19)*Balance!$H$23</f>
        <v>12.102967129246718</v>
      </c>
      <c r="AE21" s="218">
        <f>Z21/(Balance!$H$18*Balance!$H$19)*Balance!$H$24</f>
        <v>7.6075793383836521</v>
      </c>
      <c r="AF21" s="219">
        <f t="shared" ca="1" si="16"/>
        <v>0.78381120456073972</v>
      </c>
      <c r="AG21" s="217">
        <f ca="1">Z21/(Balance!$H$17*Balance!$H$18*Balance!$H$19)*Balance!$G$22/1000</f>
        <v>0.78381120456073972</v>
      </c>
      <c r="AH21" s="217">
        <f ca="1">Z21/Balance!$H$18*Balance!$G$22/1000</f>
        <v>2.1162902523139975</v>
      </c>
      <c r="AI21" s="217">
        <f ca="1">Z21/(Balance!$H$18*Balance!$H$19)*Balance!$G$23/1000</f>
        <v>1.7248786486919634</v>
      </c>
      <c r="AJ21" s="218">
        <f ca="1">Z21/(Balance!$H$18*Balance!$H$19)*Balance!$G$24/1000</f>
        <v>0.14696460085513871</v>
      </c>
      <c r="AL21" s="27" t="str">
        <f t="shared" si="17"/>
        <v>Triple low-e (U)</v>
      </c>
      <c r="AM21" s="194">
        <f t="shared" si="18"/>
        <v>197.42970646159353</v>
      </c>
      <c r="AN21" s="194">
        <f t="shared" si="19"/>
        <v>82.991774600548922</v>
      </c>
      <c r="AO21" s="194">
        <f t="shared" ca="1" si="20"/>
        <v>69.242547292127568</v>
      </c>
    </row>
    <row r="22" spans="1:41" x14ac:dyDescent="0.25">
      <c r="A22" t="str">
        <f t="shared" si="6"/>
        <v>06 Triple low-e</v>
      </c>
      <c r="B22" s="201" t="str">
        <f t="shared" si="7"/>
        <v>06 Triple low-e</v>
      </c>
      <c r="C22" s="225" t="str">
        <f t="shared" si="21"/>
        <v>06</v>
      </c>
      <c r="D22" s="213" t="s">
        <v>651</v>
      </c>
      <c r="E22" s="133" t="s">
        <v>632</v>
      </c>
      <c r="F22" s="79">
        <v>0.53</v>
      </c>
      <c r="G22" s="79">
        <v>0.54</v>
      </c>
      <c r="H22" s="137">
        <f t="shared" si="1"/>
        <v>12</v>
      </c>
      <c r="I22" s="94"/>
      <c r="J22" s="137" t="str">
        <f t="shared" si="2"/>
        <v>Argon</v>
      </c>
      <c r="K22" s="137">
        <f t="shared" si="3"/>
        <v>32</v>
      </c>
      <c r="L22" s="137" t="str">
        <f t="shared" si="4"/>
        <v>Warm edge</v>
      </c>
      <c r="M22" s="140">
        <f t="shared" si="8"/>
        <v>197.42970646159353</v>
      </c>
      <c r="N22" s="140">
        <f t="shared" si="5"/>
        <v>53.566323200912777</v>
      </c>
      <c r="O22" s="94" t="s">
        <v>627</v>
      </c>
      <c r="P22" s="140">
        <f>AA22*Balance!$H$13</f>
        <v>27.549360351076949</v>
      </c>
      <c r="Q22" s="140">
        <f ca="1">AF22*Balance!$H$13</f>
        <v>5.2037680663145336</v>
      </c>
      <c r="R22" s="209">
        <f t="shared" si="9"/>
        <v>224.97906681267048</v>
      </c>
      <c r="S22" s="209">
        <f t="shared" ca="1" si="10"/>
        <v>58.770091267227308</v>
      </c>
      <c r="T22" s="19"/>
      <c r="W22" s="217">
        <f t="shared" si="11"/>
        <v>41.870000000000005</v>
      </c>
      <c r="X22" s="205">
        <f t="shared" si="12"/>
        <v>228.20661606277508</v>
      </c>
      <c r="Y22" s="217">
        <f t="shared" si="13"/>
        <v>39.803797973669234</v>
      </c>
      <c r="Z22" s="218">
        <f t="shared" si="14"/>
        <v>2.066202026330771</v>
      </c>
      <c r="AA22" s="219">
        <f t="shared" si="15"/>
        <v>1.3774680175538474</v>
      </c>
      <c r="AB22" s="217">
        <f>Z22/(Balance!$H$17*Balance!$H$18*Balance!$H$19)*Balance!$H$22</f>
        <v>1.3774680175538474</v>
      </c>
      <c r="AC22" s="217">
        <f>Z22/Balance!$H$18*Balance!$H$22</f>
        <v>3.719163647395388</v>
      </c>
      <c r="AD22" s="217">
        <f>Z22/(Balance!$H$18*Balance!$H$19)*Balance!$H$23</f>
        <v>4.017615051198721</v>
      </c>
      <c r="AE22" s="218">
        <f>Z22/(Balance!$H$18*Balance!$H$19)*Balance!$H$24</f>
        <v>2.5253580321820537</v>
      </c>
      <c r="AF22" s="219">
        <f t="shared" ca="1" si="16"/>
        <v>0.26018840331572668</v>
      </c>
      <c r="AG22" s="217">
        <f ca="1">Z22/(Balance!$H$17*Balance!$H$18*Balance!$H$19)*Balance!$G$22/1000</f>
        <v>0.26018840331572668</v>
      </c>
      <c r="AH22" s="217">
        <f ca="1">Z22/Balance!$H$18*Balance!$G$22/1000</f>
        <v>0.7025086889524621</v>
      </c>
      <c r="AI22" s="217">
        <f ca="1">Z22/(Balance!$H$18*Balance!$H$19)*Balance!$G$23/1000</f>
        <v>0.5725784715824026</v>
      </c>
      <c r="AJ22" s="218">
        <f ca="1">Z22/(Balance!$H$18*Balance!$H$19)*Balance!$G$24/1000</f>
        <v>4.8785325621698759E-2</v>
      </c>
      <c r="AL22" s="27" t="str">
        <f t="shared" si="17"/>
        <v>Triple low-e</v>
      </c>
      <c r="AM22" s="194">
        <f t="shared" si="18"/>
        <v>197.42970646159353</v>
      </c>
      <c r="AN22" s="194">
        <f t="shared" si="19"/>
        <v>27.549360351076949</v>
      </c>
      <c r="AO22" s="194">
        <f t="shared" ca="1" si="20"/>
        <v>58.770091267227308</v>
      </c>
    </row>
    <row r="23" spans="1:41" collapsed="1" x14ac:dyDescent="0.25">
      <c r="A23" t="str">
        <f t="shared" si="6"/>
        <v>07 Quadruple low-e</v>
      </c>
      <c r="B23" s="201" t="str">
        <f t="shared" si="7"/>
        <v>07 Quadruple low-e</v>
      </c>
      <c r="C23" s="225" t="str">
        <f t="shared" si="21"/>
        <v>07</v>
      </c>
      <c r="D23" s="213" t="s">
        <v>652</v>
      </c>
      <c r="E23" s="133" t="s">
        <v>633</v>
      </c>
      <c r="F23" s="79">
        <v>0.4</v>
      </c>
      <c r="G23" s="79">
        <v>0.5</v>
      </c>
      <c r="H23" s="137">
        <f t="shared" si="1"/>
        <v>16</v>
      </c>
      <c r="I23" s="94"/>
      <c r="J23" s="137" t="str">
        <f t="shared" si="2"/>
        <v>Argon</v>
      </c>
      <c r="K23" s="137">
        <f t="shared" si="3"/>
        <v>48</v>
      </c>
      <c r="L23" s="137" t="str">
        <f t="shared" si="4"/>
        <v>Warm edge</v>
      </c>
      <c r="M23" s="140">
        <f t="shared" si="8"/>
        <v>508.2189145460905</v>
      </c>
      <c r="N23" s="140">
        <f t="shared" si="5"/>
        <v>159.24696448811824</v>
      </c>
      <c r="O23" s="94" t="s">
        <v>627</v>
      </c>
      <c r="P23" s="140">
        <f>AA23*Balance!$H$13</f>
        <v>-70.071579921842329</v>
      </c>
      <c r="Q23" s="140">
        <f ca="1">AF23*Balance!$H$13</f>
        <v>0</v>
      </c>
      <c r="R23" s="209">
        <f t="shared" si="9"/>
        <v>438.14733462424817</v>
      </c>
      <c r="S23" s="209">
        <f t="shared" ca="1" si="10"/>
        <v>159.24696448811824</v>
      </c>
      <c r="T23" s="19"/>
      <c r="W23" s="217">
        <f t="shared" si="11"/>
        <v>31.6</v>
      </c>
      <c r="X23" s="205">
        <f t="shared" si="12"/>
        <v>228.20661606277508</v>
      </c>
      <c r="Y23" s="217">
        <f t="shared" si="13"/>
        <v>36.855368494138176</v>
      </c>
      <c r="Z23" s="218">
        <f t="shared" si="14"/>
        <v>-5.2553684941381746</v>
      </c>
      <c r="AA23" s="219">
        <f>IF($AA$14=$AB$14,AB23,IF($AA$14=$AC$14,AC23,IF($AA$14=$AD$14,AD23,IF($AA$14=$AE$14,AE23,"Error"))))</f>
        <v>-3.5035789960921164</v>
      </c>
      <c r="AB23" s="217">
        <f>Z23/(Balance!$H$17*Balance!$H$18*Balance!$H$19)*Balance!$H$22</f>
        <v>-3.5035789960921164</v>
      </c>
      <c r="AC23" s="217">
        <f>Z23/Balance!$H$18*Balance!$H$22</f>
        <v>-9.4596632894487147</v>
      </c>
      <c r="AD23" s="217">
        <f>Z23/(Balance!$H$18*Balance!$H$19)*Balance!$H$23</f>
        <v>-10.218772071935341</v>
      </c>
      <c r="AE23" s="218">
        <f>Z23/(Balance!$H$18*Balance!$H$19)*Balance!$H$24</f>
        <v>-6.423228159502214</v>
      </c>
      <c r="AF23" s="219" t="b">
        <f ca="1">Balance!X58=IF($AF$14=$AG$14,AG23,IF($AF$14=$AH$14,AH23,IF($AF$14=$AI$14,AI23,IF($AF$14=$AJ$14,AJ23,"Error"))))</f>
        <v>0</v>
      </c>
      <c r="AG23" s="217">
        <f ca="1">Z23/(Balance!$H$17*Balance!$H$18*Balance!$H$19)*Balance!$G$22/1000</f>
        <v>-0.66178714370628855</v>
      </c>
      <c r="AH23" s="217">
        <f ca="1">Z23/Balance!$H$18*Balance!$G$22/1000</f>
        <v>-1.7868252880069795</v>
      </c>
      <c r="AI23" s="217">
        <f ca="1">Z23/(Balance!$H$18*Balance!$H$19)*Balance!$G$23/1000</f>
        <v>-1.4563488088914647</v>
      </c>
      <c r="AJ23" s="218">
        <f ca="1">Z23/(Balance!$H$18*Balance!$H$19)*Balance!$G$24/1000</f>
        <v>-0.12408508944492913</v>
      </c>
      <c r="AL23" s="27" t="str">
        <f t="shared" si="17"/>
        <v>Quadruple low-e</v>
      </c>
      <c r="AM23" s="194">
        <f t="shared" si="18"/>
        <v>508.2189145460905</v>
      </c>
      <c r="AN23" s="194">
        <f t="shared" si="19"/>
        <v>-70.071579921842329</v>
      </c>
      <c r="AO23" s="194">
        <f t="shared" ca="1" si="20"/>
        <v>159.24696448811824</v>
      </c>
    </row>
    <row r="24" spans="1:41" hidden="1" outlineLevel="1" x14ac:dyDescent="0.25">
      <c r="B24" s="201" t="str">
        <f t="shared" si="7"/>
        <v xml:space="preserve">08 </v>
      </c>
      <c r="C24" s="225" t="str">
        <f t="shared" si="21"/>
        <v>08</v>
      </c>
      <c r="D24" s="213"/>
      <c r="E24" s="133"/>
      <c r="F24" s="79"/>
      <c r="G24" s="79"/>
      <c r="H24" s="137" t="e">
        <f t="shared" si="1"/>
        <v>#N/A</v>
      </c>
      <c r="I24" s="94"/>
      <c r="J24" s="137" t="e">
        <f t="shared" si="2"/>
        <v>#N/A</v>
      </c>
      <c r="K24" s="137" t="e">
        <f t="shared" si="3"/>
        <v>#N/A</v>
      </c>
      <c r="L24" s="137" t="e">
        <f t="shared" si="4"/>
        <v>#N/A</v>
      </c>
      <c r="M24" s="140" t="e">
        <f t="shared" si="8"/>
        <v>#N/A</v>
      </c>
      <c r="N24" s="140" t="e">
        <f t="shared" si="5"/>
        <v>#N/A</v>
      </c>
      <c r="O24" s="94"/>
      <c r="P24" s="140" t="e">
        <f>AA24*Balance!$H$13</f>
        <v>#N/A</v>
      </c>
      <c r="Q24" s="140" t="e">
        <f ca="1">AF24*Balance!$H$13</f>
        <v>#N/A</v>
      </c>
      <c r="R24" s="209" t="e">
        <f t="shared" si="9"/>
        <v>#N/A</v>
      </c>
      <c r="S24" s="209" t="e">
        <f t="shared" ca="1" si="10"/>
        <v>#N/A</v>
      </c>
      <c r="T24" s="19"/>
      <c r="W24" s="217">
        <f t="shared" si="11"/>
        <v>0</v>
      </c>
      <c r="X24" s="205" t="e">
        <f t="shared" si="12"/>
        <v>#N/A</v>
      </c>
      <c r="Y24" s="217" t="e">
        <f t="shared" si="13"/>
        <v>#N/A</v>
      </c>
      <c r="Z24" s="218" t="e">
        <f t="shared" si="14"/>
        <v>#N/A</v>
      </c>
      <c r="AA24" s="219" t="e">
        <f t="shared" si="15"/>
        <v>#N/A</v>
      </c>
      <c r="AB24" s="217" t="e">
        <f>Z24/(Balance!$H$17*Balance!$H$18*Balance!$H$19)*Balance!$H$22</f>
        <v>#N/A</v>
      </c>
      <c r="AC24" s="217" t="e">
        <f>Z24/Balance!$H$18*Balance!$H$22</f>
        <v>#N/A</v>
      </c>
      <c r="AD24" s="217" t="e">
        <f>Z24/(Balance!$H$18*Balance!$H$19)*Balance!$H$23</f>
        <v>#N/A</v>
      </c>
      <c r="AE24" s="218" t="e">
        <f>Z24/(Balance!$H$18*Balance!$H$19)*Balance!$H$24</f>
        <v>#N/A</v>
      </c>
      <c r="AF24" s="219" t="e">
        <f t="shared" ca="1" si="16"/>
        <v>#N/A</v>
      </c>
      <c r="AG24" s="217" t="e">
        <f ca="1">Z24/(Balance!$H$17*Balance!$H$18*Balance!$H$19)*Balance!$G$22/1000</f>
        <v>#N/A</v>
      </c>
      <c r="AH24" s="217" t="e">
        <f ca="1">Z24/Balance!$H$18*Balance!$G$22/1000</f>
        <v>#N/A</v>
      </c>
      <c r="AI24" s="217" t="e">
        <f ca="1">Z24/(Balance!$H$18*Balance!$H$19)*Balance!$G$23/1000</f>
        <v>#N/A</v>
      </c>
      <c r="AJ24" s="218" t="e">
        <f ca="1">Z24/(Balance!$H$18*Balance!$H$19)*Balance!$G$24/1000</f>
        <v>#N/A</v>
      </c>
      <c r="AL24" s="27">
        <f t="shared" si="17"/>
        <v>0</v>
      </c>
      <c r="AM24" s="194" t="e">
        <f t="shared" si="18"/>
        <v>#N/A</v>
      </c>
      <c r="AN24" s="194" t="e">
        <f t="shared" si="19"/>
        <v>#N/A</v>
      </c>
      <c r="AO24" s="194" t="e">
        <f t="shared" ca="1" si="20"/>
        <v>#N/A</v>
      </c>
    </row>
    <row r="25" spans="1:41" hidden="1" outlineLevel="1" x14ac:dyDescent="0.25">
      <c r="B25" s="201" t="str">
        <f t="shared" si="7"/>
        <v xml:space="preserve">09 </v>
      </c>
      <c r="C25" s="225" t="str">
        <f t="shared" si="21"/>
        <v>09</v>
      </c>
      <c r="D25" s="213"/>
      <c r="E25" s="133"/>
      <c r="F25" s="79"/>
      <c r="G25" s="79"/>
      <c r="H25" s="137" t="e">
        <f t="shared" si="1"/>
        <v>#N/A</v>
      </c>
      <c r="I25" s="94"/>
      <c r="J25" s="137" t="e">
        <f t="shared" si="2"/>
        <v>#N/A</v>
      </c>
      <c r="K25" s="137" t="e">
        <f t="shared" si="3"/>
        <v>#N/A</v>
      </c>
      <c r="L25" s="137" t="e">
        <f t="shared" si="4"/>
        <v>#N/A</v>
      </c>
      <c r="M25" s="140" t="e">
        <f t="shared" si="8"/>
        <v>#N/A</v>
      </c>
      <c r="N25" s="140" t="e">
        <f t="shared" si="5"/>
        <v>#N/A</v>
      </c>
      <c r="O25" s="94"/>
      <c r="P25" s="140" t="e">
        <f>AA25*Balance!$H$13</f>
        <v>#N/A</v>
      </c>
      <c r="Q25" s="140" t="e">
        <f ca="1">AF25*Balance!$H$13</f>
        <v>#N/A</v>
      </c>
      <c r="R25" s="209" t="e">
        <f t="shared" si="9"/>
        <v>#N/A</v>
      </c>
      <c r="S25" s="209" t="e">
        <f t="shared" ca="1" si="10"/>
        <v>#N/A</v>
      </c>
      <c r="T25" s="19"/>
      <c r="W25" s="217">
        <f t="shared" si="11"/>
        <v>0</v>
      </c>
      <c r="X25" s="205" t="e">
        <f t="shared" si="12"/>
        <v>#N/A</v>
      </c>
      <c r="Y25" s="217" t="e">
        <f t="shared" si="13"/>
        <v>#N/A</v>
      </c>
      <c r="Z25" s="218" t="e">
        <f t="shared" si="14"/>
        <v>#N/A</v>
      </c>
      <c r="AA25" s="219" t="e">
        <f t="shared" si="15"/>
        <v>#N/A</v>
      </c>
      <c r="AB25" s="217" t="e">
        <f>Z25/(Balance!$H$17*Balance!$H$18*Balance!$H$19)*Balance!$H$22</f>
        <v>#N/A</v>
      </c>
      <c r="AC25" s="217" t="e">
        <f>Z25/Balance!$H$18*Balance!$H$22</f>
        <v>#N/A</v>
      </c>
      <c r="AD25" s="217" t="e">
        <f>Z25/(Balance!$H$18*Balance!$H$19)*Balance!$H$23</f>
        <v>#N/A</v>
      </c>
      <c r="AE25" s="218" t="e">
        <f>Z25/(Balance!$H$18*Balance!$H$19)*Balance!$H$24</f>
        <v>#N/A</v>
      </c>
      <c r="AF25" s="219" t="e">
        <f t="shared" ca="1" si="16"/>
        <v>#N/A</v>
      </c>
      <c r="AG25" s="217" t="e">
        <f ca="1">Z25/(Balance!$H$17*Balance!$H$18*Balance!$H$19)*Balance!$G$22/1000</f>
        <v>#N/A</v>
      </c>
      <c r="AH25" s="217" t="e">
        <f ca="1">Z25/Balance!$H$18*Balance!$G$22/1000</f>
        <v>#N/A</v>
      </c>
      <c r="AI25" s="217" t="e">
        <f ca="1">Z25/(Balance!$H$18*Balance!$H$19)*Balance!$G$23/1000</f>
        <v>#N/A</v>
      </c>
      <c r="AJ25" s="218" t="e">
        <f ca="1">Z25/(Balance!$H$18*Balance!$H$19)*Balance!$G$24/1000</f>
        <v>#N/A</v>
      </c>
      <c r="AL25" s="27">
        <f t="shared" si="17"/>
        <v>0</v>
      </c>
      <c r="AM25" s="194" t="e">
        <f t="shared" si="18"/>
        <v>#N/A</v>
      </c>
      <c r="AN25" s="194" t="e">
        <f t="shared" si="19"/>
        <v>#N/A</v>
      </c>
      <c r="AO25" s="194" t="e">
        <f t="shared" ca="1" si="20"/>
        <v>#N/A</v>
      </c>
    </row>
    <row r="26" spans="1:41" hidden="1" outlineLevel="1" x14ac:dyDescent="0.25">
      <c r="B26" s="201" t="str">
        <f t="shared" si="7"/>
        <v xml:space="preserve">10 </v>
      </c>
      <c r="C26" s="225" t="str">
        <f>TEXT(1+C25,"00")</f>
        <v>10</v>
      </c>
      <c r="D26" s="94"/>
      <c r="E26" s="133"/>
      <c r="F26" s="79"/>
      <c r="G26" s="79"/>
      <c r="H26" s="137" t="e">
        <f t="shared" si="1"/>
        <v>#N/A</v>
      </c>
      <c r="I26" s="94"/>
      <c r="J26" s="137" t="e">
        <f t="shared" si="2"/>
        <v>#N/A</v>
      </c>
      <c r="K26" s="137" t="e">
        <f t="shared" si="3"/>
        <v>#N/A</v>
      </c>
      <c r="L26" s="137" t="e">
        <f t="shared" si="4"/>
        <v>#N/A</v>
      </c>
      <c r="M26" s="140" t="e">
        <f t="shared" si="8"/>
        <v>#N/A</v>
      </c>
      <c r="N26" s="140" t="e">
        <f t="shared" si="5"/>
        <v>#N/A</v>
      </c>
      <c r="O26" s="94"/>
      <c r="P26" s="140" t="e">
        <f>AA26*Balance!$H$13</f>
        <v>#N/A</v>
      </c>
      <c r="Q26" s="140" t="e">
        <f ca="1">AF26*Balance!$H$13</f>
        <v>#N/A</v>
      </c>
      <c r="R26" s="209" t="e">
        <f t="shared" ref="R26" si="22">P26+M26</f>
        <v>#N/A</v>
      </c>
      <c r="S26" s="209" t="e">
        <f t="shared" ref="S26" ca="1" si="23">Q26+N26</f>
        <v>#N/A</v>
      </c>
      <c r="T26" s="19"/>
      <c r="W26" s="217">
        <f t="shared" ref="W26" si="24">F26*$F$6</f>
        <v>0</v>
      </c>
      <c r="X26" s="205" t="e">
        <f t="shared" ref="X26" si="25">HLOOKUP(O26,$G$5:$K$6,2,0)</f>
        <v>#N/A</v>
      </c>
      <c r="Y26" s="217" t="e">
        <f t="shared" ref="Y26" si="26">X26*$E$9*G26</f>
        <v>#N/A</v>
      </c>
      <c r="Z26" s="218" t="e">
        <f t="shared" ref="Z26" si="27">W26-Y26</f>
        <v>#N/A</v>
      </c>
      <c r="AA26" s="219" t="e">
        <f t="shared" si="15"/>
        <v>#N/A</v>
      </c>
      <c r="AB26" s="217" t="e">
        <f>Z26/(Balance!$H$17*Balance!$H$18*Balance!$H$19)*Balance!$H$22</f>
        <v>#N/A</v>
      </c>
      <c r="AC26" s="217" t="e">
        <f>Z26/Balance!$H$18*Balance!$H$22</f>
        <v>#N/A</v>
      </c>
      <c r="AD26" s="217" t="e">
        <f>Z26/(Balance!$H$18*Balance!$H$19)*Balance!$H$23</f>
        <v>#N/A</v>
      </c>
      <c r="AE26" s="218" t="e">
        <f>Z26/(Balance!$H$18*Balance!$H$19)*Balance!$H$24</f>
        <v>#N/A</v>
      </c>
      <c r="AF26" s="219" t="e">
        <f t="shared" ca="1" si="16"/>
        <v>#N/A</v>
      </c>
      <c r="AG26" s="217" t="e">
        <f ca="1">Z26/(Balance!$H$17*Balance!$H$18*Balance!$H$19)*Balance!$G$22/1000</f>
        <v>#N/A</v>
      </c>
      <c r="AH26" s="217" t="e">
        <f ca="1">Z26/Balance!$H$18*Balance!$G$22/1000</f>
        <v>#N/A</v>
      </c>
      <c r="AI26" s="217" t="e">
        <f ca="1">Z26/(Balance!$H$18*Balance!$H$19)*Balance!$G$23/1000</f>
        <v>#N/A</v>
      </c>
      <c r="AJ26" s="218" t="e">
        <f ca="1">Z26/(Balance!$H$18*Balance!$H$19)*Balance!$G$24/1000</f>
        <v>#N/A</v>
      </c>
      <c r="AL26" s="27">
        <f t="shared" si="17"/>
        <v>0</v>
      </c>
      <c r="AM26" s="194" t="e">
        <f t="shared" si="18"/>
        <v>#N/A</v>
      </c>
      <c r="AN26" s="194" t="e">
        <f t="shared" si="19"/>
        <v>#N/A</v>
      </c>
      <c r="AO26" s="194" t="e">
        <f t="shared" ca="1" si="20"/>
        <v>#N/A</v>
      </c>
    </row>
    <row r="27" spans="1:41" collapsed="1" x14ac:dyDescent="0.25">
      <c r="B27" s="201"/>
      <c r="C27" s="225"/>
      <c r="D27" s="20"/>
      <c r="E27" s="20"/>
      <c r="F27" s="20"/>
      <c r="G27" s="20"/>
      <c r="H27" s="20"/>
      <c r="I27" s="20"/>
      <c r="J27" s="20"/>
      <c r="K27" s="20"/>
      <c r="L27" s="20"/>
      <c r="M27" s="20"/>
      <c r="N27" s="20"/>
      <c r="O27" s="20"/>
      <c r="P27" s="20"/>
      <c r="Q27" s="20"/>
      <c r="R27" s="20"/>
      <c r="S27" s="20"/>
      <c r="T27" s="19"/>
      <c r="W27" s="201"/>
      <c r="X27" s="201"/>
      <c r="Y27" s="201"/>
      <c r="Z27" s="201"/>
      <c r="AA27" s="201"/>
      <c r="AB27" s="201"/>
      <c r="AC27" s="201"/>
      <c r="AD27" s="201"/>
      <c r="AE27" s="201"/>
      <c r="AF27" s="201"/>
      <c r="AG27" s="201"/>
      <c r="AH27" s="201"/>
      <c r="AI27" s="201"/>
      <c r="AJ27" s="201"/>
    </row>
    <row r="28" spans="1:41" hidden="1" outlineLevel="1" x14ac:dyDescent="0.25">
      <c r="A28" s="201"/>
      <c r="B28" s="201"/>
      <c r="C28" s="227"/>
      <c r="D28" s="228">
        <f>COLUMN()</f>
        <v>4</v>
      </c>
      <c r="E28" s="228">
        <f t="shared" ref="E28:P28" si="28">COLUMN()-$D$28+1</f>
        <v>2</v>
      </c>
      <c r="F28" s="228">
        <f t="shared" si="28"/>
        <v>3</v>
      </c>
      <c r="G28" s="228">
        <f t="shared" si="28"/>
        <v>4</v>
      </c>
      <c r="H28" s="228">
        <f t="shared" si="28"/>
        <v>5</v>
      </c>
      <c r="I28" s="228">
        <f t="shared" si="28"/>
        <v>6</v>
      </c>
      <c r="J28" s="228">
        <f t="shared" si="28"/>
        <v>7</v>
      </c>
      <c r="K28" s="228">
        <f t="shared" si="28"/>
        <v>8</v>
      </c>
      <c r="L28" s="228">
        <f t="shared" si="28"/>
        <v>9</v>
      </c>
      <c r="M28" s="228">
        <f t="shared" si="28"/>
        <v>10</v>
      </c>
      <c r="N28" s="228">
        <f t="shared" si="28"/>
        <v>11</v>
      </c>
      <c r="O28" s="228">
        <f t="shared" si="28"/>
        <v>12</v>
      </c>
      <c r="P28" s="228">
        <f t="shared" si="28"/>
        <v>13</v>
      </c>
      <c r="Q28" s="228"/>
      <c r="R28" s="228"/>
      <c r="S28" s="228"/>
      <c r="T28" s="214"/>
      <c r="U28" s="201"/>
      <c r="V28" s="201"/>
      <c r="W28" s="201"/>
      <c r="X28" s="201"/>
      <c r="Y28" s="201"/>
      <c r="Z28" s="201"/>
      <c r="AA28" s="201"/>
      <c r="AB28" s="201"/>
      <c r="AC28" s="201"/>
      <c r="AD28" s="201"/>
      <c r="AE28" s="201"/>
      <c r="AF28" s="201"/>
      <c r="AG28" s="201"/>
      <c r="AH28" s="201"/>
      <c r="AI28" s="201"/>
      <c r="AJ28" s="201"/>
    </row>
    <row r="29" spans="1:41" ht="22.5" hidden="1" outlineLevel="1" x14ac:dyDescent="0.25">
      <c r="A29" s="201"/>
      <c r="B29" s="201"/>
      <c r="C29" s="227"/>
      <c r="D29" s="228"/>
      <c r="E29" s="202" t="s">
        <v>82</v>
      </c>
      <c r="F29" s="202" t="str">
        <f>'Material editor'!$F$9</f>
        <v>Manfacturing energy</v>
      </c>
      <c r="G29" s="202" t="s">
        <v>149</v>
      </c>
      <c r="H29" s="202" t="str">
        <f>'Material editor'!$H$9</f>
        <v>Service life</v>
      </c>
      <c r="I29" s="202" t="s">
        <v>607</v>
      </c>
      <c r="J29" s="202" t="s">
        <v>601</v>
      </c>
      <c r="K29" s="202" t="s">
        <v>598</v>
      </c>
      <c r="L29" s="202" t="s">
        <v>600</v>
      </c>
      <c r="M29" s="202" t="s">
        <v>599</v>
      </c>
      <c r="N29" s="202" t="s">
        <v>143</v>
      </c>
      <c r="O29" s="202" t="s">
        <v>149</v>
      </c>
      <c r="P29" s="202" t="str">
        <f>'Material editor'!$AE$9</f>
        <v>Comment PHI</v>
      </c>
      <c r="Q29" s="228"/>
      <c r="R29" s="228"/>
      <c r="S29" s="228"/>
      <c r="T29" s="214"/>
      <c r="U29" s="201"/>
      <c r="V29" s="201"/>
      <c r="W29" s="201"/>
      <c r="X29" s="201"/>
      <c r="Y29" s="201"/>
      <c r="Z29" s="201"/>
      <c r="AA29" s="201"/>
      <c r="AB29" s="201"/>
      <c r="AC29" s="201"/>
      <c r="AD29" s="201"/>
      <c r="AE29" s="201"/>
      <c r="AF29" s="201"/>
      <c r="AG29" s="201"/>
      <c r="AH29" s="201"/>
      <c r="AI29" s="201"/>
      <c r="AJ29" s="201"/>
    </row>
    <row r="30" spans="1:41" hidden="1" outlineLevel="1" x14ac:dyDescent="0.25">
      <c r="A30" s="201"/>
      <c r="B30" s="201"/>
      <c r="C30" s="227"/>
      <c r="D30" s="228"/>
      <c r="E30" s="228"/>
      <c r="F30" s="203" t="s">
        <v>144</v>
      </c>
      <c r="G30" s="203" t="s">
        <v>148</v>
      </c>
      <c r="H30" s="203" t="s">
        <v>146</v>
      </c>
      <c r="I30" s="203" t="s">
        <v>344</v>
      </c>
      <c r="J30" s="203" t="s">
        <v>344</v>
      </c>
      <c r="K30" s="203"/>
      <c r="L30" s="203" t="s">
        <v>344</v>
      </c>
      <c r="M30" s="203"/>
      <c r="N30" s="203" t="s">
        <v>608</v>
      </c>
      <c r="O30" s="203" t="s">
        <v>609</v>
      </c>
      <c r="P30" s="228"/>
      <c r="Q30" s="228"/>
      <c r="R30" s="228"/>
      <c r="S30" s="228"/>
      <c r="T30" s="214"/>
      <c r="U30" s="201"/>
      <c r="V30" s="201"/>
      <c r="W30" s="201"/>
      <c r="X30" s="201"/>
      <c r="Y30" s="201"/>
      <c r="Z30" s="201"/>
      <c r="AA30" s="201"/>
      <c r="AB30" s="201"/>
      <c r="AC30" s="201"/>
      <c r="AD30" s="201"/>
      <c r="AE30" s="201"/>
      <c r="AF30" s="201"/>
      <c r="AG30" s="201"/>
      <c r="AH30" s="201"/>
      <c r="AI30" s="201"/>
      <c r="AJ30" s="201"/>
    </row>
    <row r="31" spans="1:41" hidden="1" outlineLevel="1" x14ac:dyDescent="0.25">
      <c r="A31" s="201"/>
      <c r="B31" s="201"/>
      <c r="C31" s="269" t="str">
        <f>TEXT(1,"00")</f>
        <v>01</v>
      </c>
      <c r="D31" s="133" t="s">
        <v>606</v>
      </c>
      <c r="E31" s="204" t="s">
        <v>1037</v>
      </c>
      <c r="F31" s="205">
        <f>IF(ISNUMBER(VLOOKUP(LEFT(E31,3),'Material editor'!$D$11:$H$110,'Material editor'!$F$8,0)),VLOOKUP(LEFT(E31,3),'Material editor'!$D$11:$H$110,'Material editor'!$F$8,0),"")</f>
        <v>12551.192553387367</v>
      </c>
      <c r="G31" s="205">
        <f>IF(ISNUMBER(VLOOKUP(LEFT(E31,3),'Material editor'!$D$11:$H$110,'Material editor'!$G$8,0)),VLOOKUP(LEFT(E31,3),'Material editor'!$D$11:$H$110,'Material editor'!$G$8,0),"")</f>
        <v>3364.3517819523249</v>
      </c>
      <c r="H31" s="205">
        <f>IF(ISNUMBER(VLOOKUP(LEFT(E31,3),'Material editor'!$D$11:$H$110,'Material editor'!$H$8,0)),VLOOKUP(LEFT(E31,3),'Material editor'!$D$11:$H$110,'Material editor'!$H$8,0),"")</f>
        <v>40</v>
      </c>
      <c r="I31" s="94">
        <v>4</v>
      </c>
      <c r="J31" s="94">
        <v>4</v>
      </c>
      <c r="K31" s="94" t="s">
        <v>611</v>
      </c>
      <c r="L31" s="94">
        <v>0</v>
      </c>
      <c r="M31" s="94" t="s">
        <v>611</v>
      </c>
      <c r="N31" s="207">
        <f>F31*I31/1000*Balance!$H$13/H31</f>
        <v>25.102385106774733</v>
      </c>
      <c r="O31" s="207">
        <f>G31*I31/1000*Balance!$H$13/H31</f>
        <v>6.7287035639046495</v>
      </c>
      <c r="P31" s="207" t="str">
        <f>IF(ISTEXT(VLOOKUP(LEFT(E31,3),'Material editor'!$D$11:$AE$110,'Material editor'!$AE$8,0)),VLOOKUP(LEFT(E31,3),'Material editor'!$D$11:$AE$110,'Material editor'!$AE$8,0),"")</f>
        <v>kk 2022-04-17 according to Ökobaudat: Uncoated glass, 4 mm thickness</v>
      </c>
      <c r="Q31" s="228"/>
      <c r="R31" s="228"/>
      <c r="S31" s="228"/>
      <c r="T31" s="214"/>
      <c r="U31" s="201"/>
      <c r="V31" s="201"/>
      <c r="W31" s="201"/>
      <c r="X31" s="201"/>
      <c r="Y31" s="201"/>
      <c r="Z31" s="201"/>
      <c r="AA31" s="201"/>
      <c r="AB31" s="201"/>
      <c r="AC31" s="201"/>
      <c r="AD31" s="201"/>
      <c r="AE31" s="201"/>
      <c r="AF31" s="201"/>
      <c r="AG31" s="201"/>
      <c r="AH31" s="201"/>
      <c r="AI31" s="201"/>
      <c r="AJ31" s="201"/>
    </row>
    <row r="32" spans="1:41" hidden="1" outlineLevel="1" x14ac:dyDescent="0.25">
      <c r="A32" s="201"/>
      <c r="B32" s="201"/>
      <c r="C32" s="269" t="str">
        <f>TEXT(1+C31,"00")</f>
        <v>02</v>
      </c>
      <c r="D32" s="232" t="s">
        <v>631</v>
      </c>
      <c r="E32" s="204" t="s">
        <v>1038</v>
      </c>
      <c r="F32" s="205">
        <f>IF(ISNUMBER(VLOOKUP(LEFT(E32,3),'Material editor'!$D$11:$H$110,'Material editor'!$F$8,0)),VLOOKUP(LEFT(E32,3),'Material editor'!$D$11:$H$110,'Material editor'!$F$8,0),"")</f>
        <v>33894.09064875311</v>
      </c>
      <c r="G32" s="205">
        <f>IF(ISNUMBER(VLOOKUP(LEFT(E32,3),'Material editor'!$D$11:$H$110,'Material editor'!$G$8,0)),VLOOKUP(LEFT(E32,3),'Material editor'!$D$11:$H$110,'Material editor'!$G$8,0),"")</f>
        <v>9367.4454042591751</v>
      </c>
      <c r="H32" s="205">
        <f>IF(ISNUMBER(VLOOKUP(LEFT(E32,3),'Material editor'!$D$11:$H$110,'Material editor'!$H$8,0)),VLOOKUP(LEFT(E32,3),'Material editor'!$D$11:$H$110,'Material editor'!$H$8,0),"")</f>
        <v>40</v>
      </c>
      <c r="I32" s="94">
        <v>24</v>
      </c>
      <c r="J32" s="94">
        <v>8</v>
      </c>
      <c r="K32" s="94" t="s">
        <v>612</v>
      </c>
      <c r="L32" s="94">
        <v>16</v>
      </c>
      <c r="M32" s="94" t="s">
        <v>610</v>
      </c>
      <c r="N32" s="207">
        <f>F32*I32/1000*Balance!$H$13/H32</f>
        <v>406.72908778503734</v>
      </c>
      <c r="O32" s="207">
        <f>G32*I32/1000*Balance!$H$13/H32</f>
        <v>112.40934485111011</v>
      </c>
      <c r="P32" s="228" t="str">
        <f>IF(ISTEXT(VLOOKUP(LEFT(E32,3),'Material editor'!$D$11:$AE$110,'Material editor'!$AE$8,0)),VLOOKUP(LEFT(E32,3),'Material editor'!$D$11:$AE$110,'Material editor'!$AE$8,0),"")</f>
        <v>kk 2022-04-17 according to Ökobaudat:  Argon, incl. Coating, Warm edge bond. 4/16/4 is assumed by PHI based on the weight of the glazing.</v>
      </c>
      <c r="Q32" s="228"/>
      <c r="R32" s="228"/>
      <c r="S32" s="228"/>
      <c r="T32" s="214"/>
      <c r="U32" s="201"/>
      <c r="V32" s="201"/>
      <c r="W32" s="201"/>
      <c r="X32" s="201"/>
      <c r="Y32" s="201"/>
      <c r="Z32" s="201"/>
      <c r="AA32" s="201"/>
      <c r="AB32" s="201"/>
      <c r="AC32" s="201"/>
      <c r="AD32" s="201"/>
      <c r="AE32" s="201"/>
      <c r="AF32" s="201"/>
      <c r="AG32" s="201"/>
      <c r="AH32" s="201"/>
      <c r="AI32" s="201"/>
      <c r="AJ32" s="201"/>
    </row>
    <row r="33" spans="1:41" hidden="1" outlineLevel="1" x14ac:dyDescent="0.25">
      <c r="A33" s="201"/>
      <c r="B33" s="201"/>
      <c r="C33" s="269" t="str">
        <f t="shared" ref="C33:C39" si="29">TEXT(1+C32,"00")</f>
        <v>03</v>
      </c>
      <c r="D33" s="232" t="s">
        <v>632</v>
      </c>
      <c r="E33" s="204" t="s">
        <v>1039</v>
      </c>
      <c r="F33" s="205">
        <f>IF(ISNUMBER(VLOOKUP(LEFT(E33,3),'Material editor'!$D$11:$H$110,'Material editor'!$F$8,0)),VLOOKUP(LEFT(E33,3),'Material editor'!$D$11:$H$110,'Material editor'!$F$8,0),"")</f>
        <v>8974.0775664360699</v>
      </c>
      <c r="G33" s="205">
        <f>IF(ISNUMBER(VLOOKUP(LEFT(E33,3),'Material editor'!$D$11:$H$110,'Material editor'!$G$8,0)),VLOOKUP(LEFT(E33,3),'Material editor'!$D$11:$H$110,'Material editor'!$G$8,0),"")</f>
        <v>2434.8328727687626</v>
      </c>
      <c r="H33" s="205">
        <f>IF(ISNUMBER(VLOOKUP(LEFT(E33,3),'Material editor'!$D$11:$H$110,'Material editor'!$H$8,0)),VLOOKUP(LEFT(E33,3),'Material editor'!$D$11:$H$110,'Material editor'!$H$8,0),"")</f>
        <v>40</v>
      </c>
      <c r="I33" s="94">
        <v>44</v>
      </c>
      <c r="J33" s="94">
        <v>12</v>
      </c>
      <c r="K33" s="94" t="s">
        <v>612</v>
      </c>
      <c r="L33" s="94">
        <v>32</v>
      </c>
      <c r="M33" s="94" t="s">
        <v>610</v>
      </c>
      <c r="N33" s="207">
        <f>F33*I33/1000*Balance!$H$13/H33</f>
        <v>197.42970646159353</v>
      </c>
      <c r="O33" s="207">
        <f>G33*I33/1000*Balance!$H$13/H33</f>
        <v>53.566323200912777</v>
      </c>
      <c r="P33" s="228" t="str">
        <f>IF(ISTEXT(VLOOKUP(LEFT(E33,3),'Material editor'!$D$11:$AE$110,'Material editor'!$AE$8,0)),VLOOKUP(LEFT(E33,3),'Material editor'!$D$11:$AE$110,'Material editor'!$AE$8,0),"")</f>
        <v xml:space="preserve">kk 2022-04-17 according to Ökobaudat: 4/16/4/16/4 Argon, incl. Coating, Warm edge bond, reference size 1.24*0.99 m </v>
      </c>
      <c r="Q33" s="228"/>
      <c r="R33" s="228"/>
      <c r="S33" s="228"/>
      <c r="T33" s="214"/>
      <c r="U33" s="201"/>
      <c r="V33" s="201"/>
      <c r="W33" s="201"/>
      <c r="X33" s="201"/>
      <c r="Y33" s="201"/>
      <c r="Z33" s="201"/>
      <c r="AA33" s="201"/>
      <c r="AB33" s="201"/>
      <c r="AC33" s="201"/>
      <c r="AD33" s="201"/>
      <c r="AE33" s="201"/>
      <c r="AF33" s="201"/>
      <c r="AG33" s="201"/>
      <c r="AH33" s="201"/>
      <c r="AI33" s="201"/>
      <c r="AJ33" s="201"/>
    </row>
    <row r="34" spans="1:41" hidden="1" outlineLevel="1" x14ac:dyDescent="0.25">
      <c r="A34" s="201"/>
      <c r="B34" s="201"/>
      <c r="C34" s="269" t="str">
        <f t="shared" si="29"/>
        <v>04</v>
      </c>
      <c r="D34" s="232" t="s">
        <v>633</v>
      </c>
      <c r="E34" s="204"/>
      <c r="F34" s="205"/>
      <c r="G34" s="205"/>
      <c r="H34" s="94">
        <v>40</v>
      </c>
      <c r="I34" s="206">
        <f>J34+L34</f>
        <v>64</v>
      </c>
      <c r="J34" s="206">
        <f>J33+J31</f>
        <v>16</v>
      </c>
      <c r="K34" s="94" t="s">
        <v>612</v>
      </c>
      <c r="L34" s="206">
        <f>L33+L32</f>
        <v>48</v>
      </c>
      <c r="M34" s="94" t="s">
        <v>610</v>
      </c>
      <c r="N34" s="207">
        <f>N33+N32-N31*5+N36*3</f>
        <v>508.2189145460905</v>
      </c>
      <c r="O34" s="207">
        <f>O33+O32-O31</f>
        <v>159.24696448811824</v>
      </c>
      <c r="P34" s="133" t="s">
        <v>666</v>
      </c>
      <c r="Q34" s="228"/>
      <c r="R34" s="228"/>
      <c r="S34" s="228"/>
      <c r="T34" s="214"/>
      <c r="U34" s="201"/>
      <c r="V34" s="201"/>
      <c r="W34" s="201"/>
      <c r="X34" s="201"/>
      <c r="Y34" s="201"/>
      <c r="Z34" s="201"/>
      <c r="AA34" s="201"/>
      <c r="AB34" s="201"/>
      <c r="AC34" s="201"/>
      <c r="AD34" s="201"/>
      <c r="AE34" s="201"/>
      <c r="AF34" s="201"/>
      <c r="AG34" s="201"/>
      <c r="AH34" s="201"/>
      <c r="AI34" s="201"/>
      <c r="AJ34" s="201"/>
    </row>
    <row r="35" spans="1:41" hidden="1" outlineLevel="1" x14ac:dyDescent="0.25">
      <c r="A35" s="201"/>
      <c r="B35" s="201"/>
      <c r="C35" s="269" t="str">
        <f t="shared" si="29"/>
        <v>05</v>
      </c>
      <c r="D35" s="232" t="s">
        <v>646</v>
      </c>
      <c r="E35" s="204"/>
      <c r="F35" s="205"/>
      <c r="G35" s="205"/>
      <c r="H35" s="94">
        <v>40</v>
      </c>
      <c r="I35" s="206">
        <f>I32</f>
        <v>24</v>
      </c>
      <c r="J35" s="206">
        <f>J32</f>
        <v>8</v>
      </c>
      <c r="K35" s="94" t="str">
        <f>K31</f>
        <v>None</v>
      </c>
      <c r="L35" s="206">
        <f>L32</f>
        <v>16</v>
      </c>
      <c r="M35" s="94" t="str">
        <f>M32</f>
        <v>Warm edge</v>
      </c>
      <c r="N35" s="207">
        <f>N31*2</f>
        <v>50.204770213549466</v>
      </c>
      <c r="O35" s="207">
        <f>O31*2</f>
        <v>13.457407127809299</v>
      </c>
      <c r="P35" s="133" t="s">
        <v>647</v>
      </c>
      <c r="Q35" s="228"/>
      <c r="R35" s="228"/>
      <c r="S35" s="228"/>
      <c r="T35" s="214"/>
      <c r="U35" s="201"/>
      <c r="V35" s="201"/>
      <c r="W35" s="201"/>
      <c r="X35" s="201"/>
      <c r="Y35" s="201"/>
      <c r="Z35" s="201"/>
      <c r="AA35" s="201"/>
      <c r="AB35" s="201"/>
      <c r="AC35" s="201"/>
      <c r="AD35" s="201"/>
      <c r="AE35" s="201"/>
      <c r="AF35" s="201"/>
      <c r="AG35" s="201"/>
      <c r="AH35" s="201"/>
      <c r="AI35" s="201"/>
      <c r="AJ35" s="201"/>
    </row>
    <row r="36" spans="1:41" hidden="1" outlineLevel="1" x14ac:dyDescent="0.25">
      <c r="A36" s="201"/>
      <c r="B36" s="201"/>
      <c r="C36" s="269" t="str">
        <f t="shared" si="29"/>
        <v>06</v>
      </c>
      <c r="D36" s="232" t="s">
        <v>665</v>
      </c>
      <c r="E36" s="204" t="s">
        <v>1040</v>
      </c>
      <c r="F36" s="205">
        <f>IF(ISNUMBER(VLOOKUP(LEFT(E36,3),'Material editor'!$D$11:$H$110,'Material editor'!$F$8,0)),VLOOKUP(LEFT(E36,3),'Material editor'!$D$11:$H$110,'Material editor'!$F$8,0),"")</f>
        <v>4928.6743055555553</v>
      </c>
      <c r="G36" s="205">
        <f>IF(ISNUMBER(VLOOKUP(LEFT(E36,3),'Material editor'!$D$11:$H$110,'Material editor'!$G$8,0)),VLOOKUP(LEFT(E36,3),'Material editor'!$D$11:$H$110,'Material editor'!$G$8,0),"")</f>
        <v>865.10249999999996</v>
      </c>
      <c r="H36" s="205">
        <f>IF(ISNUMBER(VLOOKUP(LEFT(E36,3),'Material editor'!$D$11:$H$110,'Material editor'!$H$8,0)),VLOOKUP(LEFT(E36,3),'Material editor'!$D$11:$H$110,'Material editor'!$H$8,0),"")</f>
        <v>40</v>
      </c>
      <c r="I36" s="94">
        <v>4</v>
      </c>
      <c r="J36" s="94">
        <v>4</v>
      </c>
      <c r="K36" s="94" t="s">
        <v>612</v>
      </c>
      <c r="L36" s="94">
        <v>0</v>
      </c>
      <c r="M36" s="94" t="s">
        <v>610</v>
      </c>
      <c r="N36" s="207">
        <f>F36*I36/1000*Balance!$H$13/H36</f>
        <v>9.8573486111111102</v>
      </c>
      <c r="O36" s="207">
        <f>G36*I36/1000*Balance!$H$13/H36</f>
        <v>1.7302050000000002</v>
      </c>
      <c r="P36" s="207" t="str">
        <f>IF(ISTEXT(VLOOKUP(LEFT(E36,3),'Material editor'!$D$11:$AE$110,'Material editor'!$AE$8,0)),VLOOKUP(LEFT(E36,3),'Material editor'!$D$11:$AE$110,'Material editor'!$AE$8,0),"")</f>
        <v/>
      </c>
      <c r="Q36" s="228"/>
      <c r="R36" s="228"/>
      <c r="S36" s="228"/>
      <c r="T36" s="214"/>
      <c r="U36" s="201"/>
      <c r="V36" s="201"/>
      <c r="W36" s="201"/>
      <c r="X36" s="201"/>
      <c r="Y36" s="201"/>
      <c r="Z36" s="201"/>
      <c r="AA36" s="201"/>
      <c r="AB36" s="201"/>
      <c r="AC36" s="201"/>
      <c r="AD36" s="201"/>
      <c r="AE36" s="201"/>
      <c r="AF36" s="201"/>
      <c r="AG36" s="201"/>
      <c r="AH36" s="201"/>
      <c r="AI36" s="201"/>
      <c r="AJ36" s="201"/>
    </row>
    <row r="37" spans="1:41" hidden="1" outlineLevel="1" x14ac:dyDescent="0.25">
      <c r="A37" s="201"/>
      <c r="B37" s="201"/>
      <c r="C37" s="269" t="str">
        <f t="shared" si="29"/>
        <v>07</v>
      </c>
      <c r="D37" s="208"/>
      <c r="E37" s="204"/>
      <c r="F37" s="205"/>
      <c r="G37" s="205"/>
      <c r="H37" s="205"/>
      <c r="I37" s="206"/>
      <c r="J37" s="206"/>
      <c r="K37" s="206"/>
      <c r="L37" s="206"/>
      <c r="M37" s="206"/>
      <c r="N37" s="207"/>
      <c r="O37" s="207"/>
      <c r="P37" s="207"/>
      <c r="Q37" s="228"/>
      <c r="R37" s="228"/>
      <c r="S37" s="228"/>
      <c r="T37" s="214"/>
      <c r="U37" s="201"/>
      <c r="V37" s="201"/>
      <c r="W37" s="201"/>
      <c r="X37" s="201"/>
      <c r="Y37" s="201"/>
      <c r="Z37" s="201"/>
      <c r="AA37" s="201"/>
      <c r="AB37" s="201"/>
      <c r="AC37" s="201"/>
      <c r="AD37" s="201"/>
      <c r="AE37" s="201"/>
      <c r="AF37" s="201"/>
      <c r="AG37" s="201"/>
      <c r="AH37" s="201"/>
      <c r="AI37" s="201"/>
      <c r="AJ37" s="201"/>
    </row>
    <row r="38" spans="1:41" hidden="1" outlineLevel="1" x14ac:dyDescent="0.25">
      <c r="A38" s="201"/>
      <c r="B38" s="201"/>
      <c r="C38" s="269" t="str">
        <f t="shared" si="29"/>
        <v>08</v>
      </c>
      <c r="D38" s="208"/>
      <c r="E38" s="204"/>
      <c r="F38" s="205"/>
      <c r="G38" s="205"/>
      <c r="H38" s="205"/>
      <c r="I38" s="206"/>
      <c r="J38" s="206"/>
      <c r="K38" s="206"/>
      <c r="L38" s="206"/>
      <c r="M38" s="206"/>
      <c r="N38" s="207"/>
      <c r="O38" s="207"/>
      <c r="P38" s="207"/>
      <c r="Q38" s="228"/>
      <c r="R38" s="228"/>
      <c r="S38" s="228"/>
      <c r="T38" s="214"/>
      <c r="U38" s="201"/>
      <c r="V38" s="201"/>
      <c r="W38" s="201"/>
      <c r="X38" s="201"/>
      <c r="Y38" s="201"/>
      <c r="Z38" s="201"/>
      <c r="AA38" s="201"/>
      <c r="AB38" s="201"/>
      <c r="AC38" s="201"/>
      <c r="AD38" s="201"/>
      <c r="AE38" s="201"/>
      <c r="AF38" s="201"/>
      <c r="AG38" s="201"/>
      <c r="AH38" s="201"/>
      <c r="AI38" s="201"/>
      <c r="AJ38" s="201"/>
    </row>
    <row r="39" spans="1:41" hidden="1" outlineLevel="1" x14ac:dyDescent="0.25">
      <c r="A39" s="201"/>
      <c r="B39" s="201"/>
      <c r="C39" s="269" t="str">
        <f t="shared" si="29"/>
        <v>09</v>
      </c>
      <c r="D39" s="208"/>
      <c r="E39" s="204"/>
      <c r="F39" s="205"/>
      <c r="G39" s="205"/>
      <c r="H39" s="205"/>
      <c r="I39" s="206"/>
      <c r="J39" s="206"/>
      <c r="K39" s="206"/>
      <c r="L39" s="206"/>
      <c r="M39" s="206"/>
      <c r="N39" s="207"/>
      <c r="O39" s="207"/>
      <c r="P39" s="207"/>
      <c r="Q39" s="228"/>
      <c r="R39" s="228"/>
      <c r="S39" s="228"/>
      <c r="T39" s="214"/>
      <c r="U39" s="201"/>
      <c r="V39" s="201"/>
      <c r="W39" s="201"/>
      <c r="X39" s="201"/>
      <c r="Y39" s="201"/>
      <c r="Z39" s="201"/>
      <c r="AA39" s="201"/>
      <c r="AB39" s="201"/>
      <c r="AC39" s="201"/>
      <c r="AD39" s="201"/>
      <c r="AE39" s="201"/>
      <c r="AF39" s="201"/>
      <c r="AG39" s="201"/>
      <c r="AH39" s="201"/>
      <c r="AI39" s="201"/>
      <c r="AJ39" s="201"/>
    </row>
    <row r="40" spans="1:41" hidden="1" outlineLevel="1" x14ac:dyDescent="0.25">
      <c r="A40" s="201"/>
      <c r="B40" s="201"/>
      <c r="C40" s="269" t="str">
        <f>TEXT(1+C39,"00")</f>
        <v>10</v>
      </c>
      <c r="D40" s="208"/>
      <c r="E40" s="204"/>
      <c r="F40" s="205"/>
      <c r="G40" s="205"/>
      <c r="H40" s="205"/>
      <c r="I40" s="206"/>
      <c r="J40" s="206"/>
      <c r="K40" s="206"/>
      <c r="L40" s="206"/>
      <c r="M40" s="206"/>
      <c r="N40" s="207"/>
      <c r="O40" s="207"/>
      <c r="P40" s="207"/>
      <c r="Q40" s="228"/>
      <c r="R40" s="228"/>
      <c r="S40" s="228"/>
      <c r="T40" s="214"/>
      <c r="U40" s="201"/>
      <c r="V40" s="201"/>
      <c r="W40" s="201"/>
      <c r="X40" s="201"/>
      <c r="Y40" s="201"/>
      <c r="Z40" s="201"/>
      <c r="AA40" s="201"/>
      <c r="AB40" s="201"/>
      <c r="AC40" s="201"/>
      <c r="AD40" s="201"/>
      <c r="AE40" s="201"/>
      <c r="AF40" s="201"/>
      <c r="AG40" s="201"/>
      <c r="AH40" s="201"/>
      <c r="AI40" s="201"/>
      <c r="AJ40" s="201"/>
    </row>
    <row r="41" spans="1:41" hidden="1" outlineLevel="1" x14ac:dyDescent="0.25">
      <c r="A41" s="201"/>
      <c r="B41" s="201"/>
      <c r="C41" s="227"/>
      <c r="D41" s="228"/>
      <c r="E41" s="228"/>
      <c r="F41" s="228"/>
      <c r="G41" s="228"/>
      <c r="H41" s="228"/>
      <c r="I41" s="228"/>
      <c r="J41" s="228"/>
      <c r="K41" s="228"/>
      <c r="L41" s="228"/>
      <c r="M41" s="228"/>
      <c r="N41" s="228"/>
      <c r="O41" s="228"/>
      <c r="P41" s="228"/>
      <c r="Q41" s="228"/>
      <c r="R41" s="228"/>
      <c r="S41" s="228"/>
      <c r="T41" s="214"/>
      <c r="U41" s="201"/>
      <c r="V41" s="201"/>
      <c r="W41" s="201"/>
      <c r="X41" s="201"/>
      <c r="Y41" s="201"/>
      <c r="Z41" s="201"/>
      <c r="AA41" s="201"/>
      <c r="AB41" s="201"/>
      <c r="AC41" s="201"/>
      <c r="AD41" s="201"/>
      <c r="AE41" s="201"/>
      <c r="AF41" s="201"/>
      <c r="AG41" s="201"/>
      <c r="AH41" s="201"/>
      <c r="AI41" s="201"/>
      <c r="AJ41" s="201"/>
    </row>
    <row r="42" spans="1:41" x14ac:dyDescent="0.25">
      <c r="B42" s="201"/>
      <c r="C42" s="21"/>
      <c r="D42" s="22"/>
      <c r="E42" s="22"/>
      <c r="F42" s="22"/>
      <c r="G42" s="22"/>
      <c r="H42" s="22"/>
      <c r="I42" s="22"/>
      <c r="J42" s="22"/>
      <c r="K42" s="22"/>
      <c r="L42" s="22"/>
      <c r="M42" s="22"/>
      <c r="N42" s="22"/>
      <c r="O42" s="22"/>
      <c r="P42" s="22"/>
      <c r="Q42" s="22"/>
      <c r="R42" s="22"/>
      <c r="S42" s="22"/>
      <c r="T42" s="23"/>
    </row>
    <row r="43" spans="1:41" x14ac:dyDescent="0.25">
      <c r="B43" s="201"/>
    </row>
    <row r="44" spans="1:41" x14ac:dyDescent="0.25">
      <c r="B44" s="201"/>
    </row>
    <row r="45" spans="1:41" ht="20.25" x14ac:dyDescent="0.3">
      <c r="B45" s="201"/>
      <c r="C45" s="221" t="s">
        <v>668</v>
      </c>
      <c r="D45" s="16"/>
      <c r="E45" s="16"/>
      <c r="F45" s="50"/>
      <c r="G45" s="50"/>
      <c r="H45" s="50"/>
      <c r="I45" s="50"/>
      <c r="J45" s="50"/>
      <c r="K45" s="50"/>
      <c r="L45" s="50"/>
      <c r="M45" s="50"/>
      <c r="N45" s="50"/>
      <c r="O45" s="428" t="s">
        <v>638</v>
      </c>
      <c r="P45" s="428"/>
      <c r="Q45" s="428" t="s">
        <v>640</v>
      </c>
      <c r="R45" s="428"/>
      <c r="S45" s="428" t="s">
        <v>352</v>
      </c>
      <c r="T45" s="428"/>
      <c r="U45" s="17"/>
      <c r="W45" s="201" t="s">
        <v>642</v>
      </c>
      <c r="X45" s="201" t="s">
        <v>778</v>
      </c>
      <c r="Y45" s="201"/>
      <c r="Z45" s="214"/>
      <c r="AA45" s="201" t="s">
        <v>374</v>
      </c>
      <c r="AB45" s="201"/>
      <c r="AC45" s="201"/>
      <c r="AD45" s="201"/>
      <c r="AE45" s="214"/>
      <c r="AF45" s="201" t="s">
        <v>149</v>
      </c>
      <c r="AG45" s="201"/>
      <c r="AH45" s="201"/>
      <c r="AI45" s="201"/>
      <c r="AJ45" s="214"/>
    </row>
    <row r="46" spans="1:41" hidden="1" x14ac:dyDescent="0.25">
      <c r="B46" s="201"/>
      <c r="C46" s="269">
        <v>2</v>
      </c>
      <c r="D46" s="228">
        <f>COLUMN()-$C$16</f>
        <v>2</v>
      </c>
      <c r="E46" s="228">
        <f t="shared" ref="E46:T46" si="30">COLUMN()-$C$16</f>
        <v>3</v>
      </c>
      <c r="F46" s="228">
        <f t="shared" si="30"/>
        <v>4</v>
      </c>
      <c r="G46" s="228">
        <f t="shared" si="30"/>
        <v>5</v>
      </c>
      <c r="H46" s="228">
        <f t="shared" si="30"/>
        <v>6</v>
      </c>
      <c r="I46" s="228">
        <f t="shared" si="30"/>
        <v>7</v>
      </c>
      <c r="J46" s="228">
        <f t="shared" si="30"/>
        <v>8</v>
      </c>
      <c r="K46" s="228">
        <f t="shared" si="30"/>
        <v>9</v>
      </c>
      <c r="L46" s="228">
        <f t="shared" si="30"/>
        <v>10</v>
      </c>
      <c r="M46" s="228">
        <f t="shared" si="30"/>
        <v>11</v>
      </c>
      <c r="N46" s="228">
        <f t="shared" si="30"/>
        <v>12</v>
      </c>
      <c r="O46" s="228">
        <f t="shared" si="30"/>
        <v>13</v>
      </c>
      <c r="P46" s="228">
        <f t="shared" si="30"/>
        <v>14</v>
      </c>
      <c r="Q46" s="228">
        <f t="shared" si="30"/>
        <v>15</v>
      </c>
      <c r="R46" s="228">
        <f t="shared" si="30"/>
        <v>16</v>
      </c>
      <c r="S46" s="228">
        <f t="shared" si="30"/>
        <v>17</v>
      </c>
      <c r="T46" s="228">
        <f t="shared" si="30"/>
        <v>18</v>
      </c>
      <c r="U46" s="214"/>
      <c r="V46" s="201"/>
      <c r="W46" s="228">
        <f t="shared" ref="W46" si="31">COLUMN()-$C$16</f>
        <v>21</v>
      </c>
      <c r="X46" s="201"/>
      <c r="Y46" s="201"/>
      <c r="Z46" s="214"/>
      <c r="AA46" s="201"/>
      <c r="AB46" s="201"/>
      <c r="AC46" s="201"/>
      <c r="AD46" s="201"/>
      <c r="AE46" s="214"/>
      <c r="AF46" s="201"/>
      <c r="AG46" s="201"/>
      <c r="AH46" s="201"/>
      <c r="AI46" s="201"/>
      <c r="AJ46" s="214"/>
    </row>
    <row r="47" spans="1:41" ht="15" customHeight="1" x14ac:dyDescent="0.25">
      <c r="B47" s="201"/>
      <c r="C47" s="222" t="s">
        <v>364</v>
      </c>
      <c r="D47" s="223" t="s">
        <v>187</v>
      </c>
      <c r="E47" s="250" t="s">
        <v>735</v>
      </c>
      <c r="F47" s="425" t="s">
        <v>732</v>
      </c>
      <c r="G47" s="426"/>
      <c r="H47" s="427"/>
      <c r="I47" s="425" t="s">
        <v>733</v>
      </c>
      <c r="J47" s="426"/>
      <c r="K47" s="427"/>
      <c r="L47" s="425" t="s">
        <v>734</v>
      </c>
      <c r="M47" s="426"/>
      <c r="N47" s="427"/>
      <c r="O47" s="224" t="s">
        <v>404</v>
      </c>
      <c r="P47" s="224" t="s">
        <v>149</v>
      </c>
      <c r="Q47" s="224" t="s">
        <v>404</v>
      </c>
      <c r="R47" s="224" t="s">
        <v>149</v>
      </c>
      <c r="S47" s="224" t="s">
        <v>404</v>
      </c>
      <c r="T47" s="224" t="s">
        <v>149</v>
      </c>
      <c r="U47" s="19"/>
      <c r="W47" s="201"/>
      <c r="X47" s="201"/>
      <c r="Y47" s="201"/>
      <c r="Z47" s="214"/>
      <c r="AA47" s="215" t="str">
        <f>Balance!$G$16</f>
        <v>Heat pump</v>
      </c>
      <c r="AB47" s="215" t="str">
        <f>Data!$D$4</f>
        <v>Heat pump</v>
      </c>
      <c r="AC47" s="215" t="str">
        <f>Data!$D$5</f>
        <v>Direct electric</v>
      </c>
      <c r="AD47" s="215" t="str">
        <f>Data!$D$6</f>
        <v>Gas boiler</v>
      </c>
      <c r="AE47" s="216" t="str">
        <f>Data!$D$7</f>
        <v>Biomass</v>
      </c>
      <c r="AF47" s="215" t="str">
        <f>Balance!$G$16</f>
        <v>Heat pump</v>
      </c>
      <c r="AG47" s="215" t="str">
        <f>Data!$D$4</f>
        <v>Heat pump</v>
      </c>
      <c r="AH47" s="215" t="str">
        <f>Data!$D$5</f>
        <v>Direct electric</v>
      </c>
      <c r="AI47" s="215" t="str">
        <f>Data!$D$6</f>
        <v>Gas boiler</v>
      </c>
      <c r="AJ47" s="216" t="str">
        <f>Data!$D$7</f>
        <v>Biomass</v>
      </c>
    </row>
    <row r="48" spans="1:41" ht="15.75" thickBot="1" x14ac:dyDescent="0.3">
      <c r="B48" s="201"/>
      <c r="C48" s="225"/>
      <c r="D48" s="20"/>
      <c r="E48" s="19"/>
      <c r="F48" s="252" t="s">
        <v>739</v>
      </c>
      <c r="G48" s="226" t="s">
        <v>737</v>
      </c>
      <c r="H48" s="253" t="s">
        <v>738</v>
      </c>
      <c r="I48" s="252" t="s">
        <v>739</v>
      </c>
      <c r="J48" s="226" t="s">
        <v>737</v>
      </c>
      <c r="K48" s="253" t="s">
        <v>738</v>
      </c>
      <c r="L48" s="252" t="s">
        <v>739</v>
      </c>
      <c r="M48" s="226" t="s">
        <v>737</v>
      </c>
      <c r="N48" s="253" t="s">
        <v>738</v>
      </c>
      <c r="O48" s="120" t="s">
        <v>730</v>
      </c>
      <c r="P48" s="120" t="s">
        <v>731</v>
      </c>
      <c r="Q48" s="120" t="s">
        <v>730</v>
      </c>
      <c r="R48" s="120" t="s">
        <v>731</v>
      </c>
      <c r="S48" s="120" t="s">
        <v>730</v>
      </c>
      <c r="T48" s="120" t="s">
        <v>609</v>
      </c>
      <c r="U48" s="19"/>
      <c r="W48" s="201"/>
      <c r="X48" s="201"/>
      <c r="Y48" s="201"/>
      <c r="Z48" s="214"/>
      <c r="AA48" s="201"/>
      <c r="AB48" s="201"/>
      <c r="AC48" s="201"/>
      <c r="AD48" s="201"/>
      <c r="AE48" s="214"/>
      <c r="AF48" s="201"/>
      <c r="AG48" s="201"/>
      <c r="AH48" s="201"/>
      <c r="AI48" s="201"/>
      <c r="AJ48" s="214"/>
      <c r="AL48" s="196"/>
      <c r="AM48" s="220" t="s">
        <v>559</v>
      </c>
      <c r="AN48" s="220" t="s">
        <v>560</v>
      </c>
      <c r="AO48" s="220" t="s">
        <v>558</v>
      </c>
    </row>
    <row r="49" spans="1:41" s="238" customFormat="1" ht="25.5" x14ac:dyDescent="0.25">
      <c r="A49" t="str">
        <f>C49&amp;" "&amp;D49</f>
        <v>01 Timber frame</v>
      </c>
      <c r="B49" s="201" t="str">
        <f t="shared" ref="B49:B63" si="32">C49&amp;" "&amp;D49</f>
        <v>01 Timber frame</v>
      </c>
      <c r="C49" s="239" t="str">
        <f>TEXT(1,"00")</f>
        <v>01</v>
      </c>
      <c r="D49" s="248" t="str">
        <f>D79</f>
        <v>Timber frame</v>
      </c>
      <c r="E49" s="261" t="str">
        <f>E79</f>
        <v>Soft timber frame form PHI spacer certification, warm climate</v>
      </c>
      <c r="F49" s="249">
        <f>F79</f>
        <v>0.99</v>
      </c>
      <c r="G49" s="240"/>
      <c r="H49" s="251">
        <f>IF(ISNUMBER(G49),G49,F49)</f>
        <v>0.99</v>
      </c>
      <c r="I49" s="254">
        <f>G79</f>
        <v>3.5000000000000003E-2</v>
      </c>
      <c r="J49" s="332"/>
      <c r="K49" s="255">
        <f>IF(ISNUMBER(J49),J49,I49)</f>
        <v>3.5000000000000003E-2</v>
      </c>
      <c r="L49" s="254">
        <f>H79</f>
        <v>0.12</v>
      </c>
      <c r="M49" s="332"/>
      <c r="N49" s="255">
        <f>IF(ISNUMBER(M49),M49,L49)</f>
        <v>0.12</v>
      </c>
      <c r="O49" s="241">
        <f>L79*X49</f>
        <v>22.792820665026479</v>
      </c>
      <c r="P49" s="241">
        <f>M79*X49</f>
        <v>3.5436420947311849</v>
      </c>
      <c r="Q49" s="241">
        <f>AA49*Balance!$H$13</f>
        <v>162.00266666666664</v>
      </c>
      <c r="R49" s="241">
        <f ca="1">AF49*Balance!$H$13</f>
        <v>30.600503703703701</v>
      </c>
      <c r="S49" s="242">
        <f>Q49+O49</f>
        <v>184.79548733169312</v>
      </c>
      <c r="T49" s="242">
        <f ca="1">R49+P49</f>
        <v>34.144145798434884</v>
      </c>
      <c r="U49" s="243"/>
      <c r="W49" s="244">
        <f>(H49*N49+K49)*$F$6</f>
        <v>12.1502</v>
      </c>
      <c r="X49" s="244">
        <f>N49/L49</f>
        <v>1</v>
      </c>
      <c r="Y49" s="256"/>
      <c r="Z49" s="257"/>
      <c r="AA49" s="246">
        <f>IF(AA47=AB47,AB49,IF(AA47=AC47,AC49,IF(AA47=AD47,AD49,IF(AA47=AE47,AE49,"Error"))))</f>
        <v>8.1001333333333321</v>
      </c>
      <c r="AB49" s="244">
        <f>W49/(Balance!$H$17*Balance!$H$18*Balance!$H$19)*Balance!$H$22</f>
        <v>8.1001333333333321</v>
      </c>
      <c r="AC49" s="244">
        <f>W49/Balance!$H$18*Balance!$H$22</f>
        <v>21.870360000000002</v>
      </c>
      <c r="AD49" s="244">
        <f>W49/(Balance!$H$18*Balance!$H$19)*Balance!$H$23</f>
        <v>23.625388888888889</v>
      </c>
      <c r="AE49" s="245">
        <f>W49/(Balance!$H$18*Balance!$H$19)*Balance!$H$24</f>
        <v>14.850244444444446</v>
      </c>
      <c r="AF49" s="246">
        <f ca="1">IF(AF47=AG47,AG49,IF(AF47=AH47,AH49,IF(AF47=AI47,AI49,IF(AF47=AJ47,AJ49,"Error"))))</f>
        <v>1.5300251851851852</v>
      </c>
      <c r="AG49" s="244">
        <f ca="1">W49/(Balance!$H$17*Balance!$H$18*Balance!$H$19)*Balance!$G$22/1000</f>
        <v>1.5300251851851852</v>
      </c>
      <c r="AH49" s="244">
        <f ca="1">W49/Balance!$H$18*Balance!$G$22/1000</f>
        <v>4.131068</v>
      </c>
      <c r="AI49" s="244">
        <f ca="1">W49/(Balance!$H$18*Balance!$H$19)*Balance!$G$23/1000</f>
        <v>3.3670197089947078</v>
      </c>
      <c r="AJ49" s="245">
        <f ca="1">W49/(Balance!$H$18*Balance!$H$19)*Balance!$G$24/1000</f>
        <v>0.28687972222222219</v>
      </c>
      <c r="AL49" s="247" t="str">
        <f t="shared" ref="AL49:AL59" si="33">D49</f>
        <v>Timber frame</v>
      </c>
      <c r="AM49" s="247">
        <f t="shared" ref="AM49:AM59" si="34">O49</f>
        <v>22.792820665026479</v>
      </c>
      <c r="AN49" s="247">
        <f>Q49</f>
        <v>162.00266666666664</v>
      </c>
      <c r="AO49" s="247">
        <f ca="1">T49</f>
        <v>34.144145798434884</v>
      </c>
    </row>
    <row r="50" spans="1:41" s="238" customFormat="1" ht="25.5" x14ac:dyDescent="0.25">
      <c r="A50" t="str">
        <f t="shared" ref="A50:A63" si="35">C50&amp;" "&amp;D50</f>
        <v>02 PH Timber frame with PU insulation</v>
      </c>
      <c r="B50" s="201" t="str">
        <f t="shared" si="32"/>
        <v>02 PH Timber frame with PU insulation</v>
      </c>
      <c r="C50" s="239" t="str">
        <f>TEXT(1+C49,"00")</f>
        <v>02</v>
      </c>
      <c r="D50" s="248" t="str">
        <f>D95</f>
        <v>PH Timber frame with PU insulation</v>
      </c>
      <c r="E50" s="261" t="str">
        <f>E95</f>
        <v>Soft timber frame form PHI spacer certification, cool, temperate climate</v>
      </c>
      <c r="F50" s="249">
        <f>F95</f>
        <v>0.77600000000000002</v>
      </c>
      <c r="G50" s="240"/>
      <c r="H50" s="251">
        <f t="shared" ref="H50:H58" si="36">IF(ISNUMBER(G50),G50,F50)</f>
        <v>0.77600000000000002</v>
      </c>
      <c r="I50" s="254">
        <f>G95</f>
        <v>0.03</v>
      </c>
      <c r="J50" s="332"/>
      <c r="K50" s="255">
        <f t="shared" ref="K50:K58" si="37">IF(ISNUMBER(J50),J50,I50)</f>
        <v>0.03</v>
      </c>
      <c r="L50" s="254">
        <f>H95</f>
        <v>0.12</v>
      </c>
      <c r="M50" s="332"/>
      <c r="N50" s="255">
        <f t="shared" ref="N50:N63" si="38">IF(ISNUMBER(M50),M50,L50)</f>
        <v>0.12</v>
      </c>
      <c r="O50" s="241">
        <f>L95*X50</f>
        <v>21.019988428001842</v>
      </c>
      <c r="P50" s="241">
        <f>M95*X50</f>
        <v>6.9887098555222886</v>
      </c>
      <c r="Q50" s="241">
        <f>AA50*Balance!$H$13</f>
        <v>129.68639999999999</v>
      </c>
      <c r="R50" s="241">
        <f ca="1">AF50*Balance!$H$13</f>
        <v>24.496319999999997</v>
      </c>
      <c r="S50" s="242">
        <f t="shared" ref="S50:S57" si="39">Q50+O50</f>
        <v>150.70638842800184</v>
      </c>
      <c r="T50" s="242">
        <f ca="1">R50+P50</f>
        <v>31.485029855522285</v>
      </c>
      <c r="U50" s="243"/>
      <c r="W50" s="244">
        <f t="shared" ref="W50:W63" si="40">(H50*N50+K50)*$F$6</f>
        <v>9.7264799999999987</v>
      </c>
      <c r="X50" s="244">
        <f t="shared" ref="X50:X63" si="41">N50/L50</f>
        <v>1</v>
      </c>
      <c r="Y50" s="256"/>
      <c r="Z50" s="257"/>
      <c r="AA50" s="246">
        <f t="shared" ref="AA50:AA57" si="42">IF(AA48=AB48,AB50,IF(AA48=AC48,AC50,IF(AA48=AD48,AD50,IF(AA48=AE48,AE50,"Error"))))</f>
        <v>6.4843199999999994</v>
      </c>
      <c r="AB50" s="244">
        <f>W50/(Balance!$H$17*Balance!$H$18*Balance!$H$19)*Balance!$H$22</f>
        <v>6.4843199999999994</v>
      </c>
      <c r="AC50" s="244">
        <f>W50/Balance!$H$18*Balance!$H$22</f>
        <v>17.507663999999998</v>
      </c>
      <c r="AD50" s="244">
        <f>W50/(Balance!$H$18*Balance!$H$19)*Balance!$H$23</f>
        <v>18.912599999999998</v>
      </c>
      <c r="AE50" s="245">
        <f>W50/(Balance!$H$18*Balance!$H$19)*Balance!$H$24</f>
        <v>11.887919999999999</v>
      </c>
      <c r="AF50" s="246">
        <f t="shared" ref="AF50:AF57" ca="1" si="43">IF(AF48=AG48,AG50,IF(AF48=AH48,AH50,IF(AF48=AI48,AI50,IF(AF48=AJ48,AJ50,"Error"))))</f>
        <v>1.2248159999999999</v>
      </c>
      <c r="AG50" s="244">
        <f ca="1">W50/(Balance!$H$17*Balance!$H$18*Balance!$H$19)*Balance!$G$22/1000</f>
        <v>1.2248159999999999</v>
      </c>
      <c r="AH50" s="244">
        <f ca="1">W50/Balance!$H$18*Balance!$G$22/1000</f>
        <v>3.3070031999999996</v>
      </c>
      <c r="AI50" s="244">
        <f ca="1">W50/(Balance!$H$18*Balance!$H$19)*Balance!$G$23/1000</f>
        <v>2.6953671428571413</v>
      </c>
      <c r="AJ50" s="245">
        <f ca="1">W50/(Balance!$H$18*Balance!$H$19)*Balance!$G$24/1000</f>
        <v>0.22965299999999997</v>
      </c>
      <c r="AL50" s="258" t="str">
        <f t="shared" si="33"/>
        <v>PH Timber frame with PU insulation</v>
      </c>
      <c r="AM50" s="259">
        <f t="shared" si="34"/>
        <v>21.019988428001842</v>
      </c>
      <c r="AN50" s="259">
        <f t="shared" ref="AN50:AN58" si="44">Q50</f>
        <v>129.68639999999999</v>
      </c>
      <c r="AO50" s="259">
        <f t="shared" ref="AO50:AO58" ca="1" si="45">T50</f>
        <v>31.485029855522285</v>
      </c>
    </row>
    <row r="51" spans="1:41" s="238" customFormat="1" x14ac:dyDescent="0.25">
      <c r="A51" t="str">
        <f t="shared" si="35"/>
        <v>03 Timber frame IV 68</v>
      </c>
      <c r="B51" s="201" t="str">
        <f t="shared" si="32"/>
        <v>03 Timber frame IV 68</v>
      </c>
      <c r="C51" s="239" t="str">
        <f t="shared" ref="C51:C63" si="46">TEXT(1+C50,"00")</f>
        <v>03</v>
      </c>
      <c r="D51" s="248" t="str">
        <f>D111</f>
        <v>Timber frame IV 68</v>
      </c>
      <c r="E51" s="261" t="str">
        <f>E111</f>
        <v>ÖKOBAUDAT generic Datasets</v>
      </c>
      <c r="F51" s="249">
        <f>F111</f>
        <v>1.6</v>
      </c>
      <c r="G51" s="240"/>
      <c r="H51" s="251">
        <f t="shared" si="36"/>
        <v>1.6</v>
      </c>
      <c r="I51" s="254">
        <f>G111</f>
        <v>0.04</v>
      </c>
      <c r="J51" s="332"/>
      <c r="K51" s="255">
        <f t="shared" si="37"/>
        <v>0.04</v>
      </c>
      <c r="L51" s="254">
        <f>H111</f>
        <v>0.16</v>
      </c>
      <c r="M51" s="332"/>
      <c r="N51" s="255">
        <f t="shared" si="38"/>
        <v>0.16</v>
      </c>
      <c r="O51" s="241">
        <f>L111*X51</f>
        <v>29.329227088418126</v>
      </c>
      <c r="P51" s="241">
        <f>M111*X51</f>
        <v>0.19513500107726725</v>
      </c>
      <c r="Q51" s="241">
        <f>AA51*Balance!$H$13</f>
        <v>311.78666666666663</v>
      </c>
      <c r="R51" s="241">
        <f ca="1">AF51*Balance!$H$13</f>
        <v>58.89303703703704</v>
      </c>
      <c r="S51" s="242">
        <f t="shared" ref="S51" si="47">Q51+O51</f>
        <v>341.11589375508476</v>
      </c>
      <c r="T51" s="242">
        <f ca="1">R51+P51</f>
        <v>59.088172038114308</v>
      </c>
      <c r="U51" s="243"/>
      <c r="W51" s="244">
        <f t="shared" ref="W51" si="48">(H51*N51+K51)*$F$6</f>
        <v>23.384</v>
      </c>
      <c r="X51" s="244">
        <f t="shared" ref="X51" si="49">N51/L51</f>
        <v>1</v>
      </c>
      <c r="Y51" s="256"/>
      <c r="Z51" s="257"/>
      <c r="AA51" s="246">
        <f t="shared" ref="AA51" si="50">IF(AA49=AB49,AB51,IF(AA49=AC49,AC51,IF(AA49=AD49,AD51,IF(AA49=AE49,AE51,"Error"))))</f>
        <v>15.589333333333332</v>
      </c>
      <c r="AB51" s="244">
        <f>W51/(Balance!$H$17*Balance!$H$18*Balance!$H$19)*Balance!$H$22</f>
        <v>15.589333333333332</v>
      </c>
      <c r="AC51" s="244">
        <f>W51/Balance!$H$18*Balance!$H$22</f>
        <v>42.091200000000001</v>
      </c>
      <c r="AD51" s="244">
        <f>W51/(Balance!$H$18*Balance!$H$19)*Balance!$H$23</f>
        <v>45.468888888888891</v>
      </c>
      <c r="AE51" s="245">
        <f>W51/(Balance!$H$18*Balance!$H$19)*Balance!$H$24</f>
        <v>28.580444444444449</v>
      </c>
      <c r="AF51" s="246">
        <f t="shared" ref="AF51" ca="1" si="51">IF(AF49=AG49,AG51,IF(AF49=AH49,AH51,IF(AF49=AI49,AI51,IF(AF49=AJ49,AJ51,"Error"))))</f>
        <v>2.9446518518518521</v>
      </c>
      <c r="AG51" s="244">
        <f ca="1">W51/(Balance!$H$17*Balance!$H$18*Balance!$H$19)*Balance!$G$22/1000</f>
        <v>2.9446518518518521</v>
      </c>
      <c r="AH51" s="244">
        <f ca="1">W51/Balance!$H$18*Balance!$G$22/1000</f>
        <v>7.9505600000000003</v>
      </c>
      <c r="AI51" s="244">
        <f ca="1">W51/(Balance!$H$18*Balance!$H$19)*Balance!$G$23/1000</f>
        <v>6.4800899470899447</v>
      </c>
      <c r="AJ51" s="245">
        <f ca="1">W51/(Balance!$H$18*Balance!$H$19)*Balance!$G$24/1000</f>
        <v>0.55212222222222229</v>
      </c>
      <c r="AL51" s="258" t="str">
        <f t="shared" si="33"/>
        <v>Timber frame IV 68</v>
      </c>
      <c r="AM51" s="259">
        <f t="shared" si="34"/>
        <v>29.329227088418126</v>
      </c>
      <c r="AN51" s="259">
        <f t="shared" ref="AN51" si="52">Q51</f>
        <v>311.78666666666663</v>
      </c>
      <c r="AO51" s="259">
        <f t="shared" ref="AO51" ca="1" si="53">T51</f>
        <v>59.088172038114308</v>
      </c>
    </row>
    <row r="52" spans="1:41" s="238" customFormat="1" ht="25.5" x14ac:dyDescent="0.25">
      <c r="A52" t="str">
        <f t="shared" si="35"/>
        <v>04 Ti-Alu integral</v>
      </c>
      <c r="B52" s="201" t="str">
        <f t="shared" si="32"/>
        <v>04 Ti-Alu integral</v>
      </c>
      <c r="C52" s="239" t="str">
        <f t="shared" si="46"/>
        <v>04</v>
      </c>
      <c r="D52" s="248" t="str">
        <f>D127</f>
        <v>Ti-Alu integral</v>
      </c>
      <c r="E52" s="261" t="str">
        <f>E127</f>
        <v>Soft timber-Alu integral frame form PHI spacer certification, warm climate</v>
      </c>
      <c r="F52" s="249">
        <f>F127</f>
        <v>1.034</v>
      </c>
      <c r="G52" s="240"/>
      <c r="H52" s="251">
        <f t="shared" si="36"/>
        <v>1.034</v>
      </c>
      <c r="I52" s="254">
        <f>G127</f>
        <v>3.5000000000000003E-2</v>
      </c>
      <c r="J52" s="332"/>
      <c r="K52" s="255">
        <f t="shared" si="37"/>
        <v>3.5000000000000003E-2</v>
      </c>
      <c r="L52" s="254">
        <f>H127</f>
        <v>9.4E-2</v>
      </c>
      <c r="M52" s="332"/>
      <c r="N52" s="255">
        <f t="shared" si="38"/>
        <v>9.4E-2</v>
      </c>
      <c r="O52" s="241">
        <f>L127*X52</f>
        <v>32.081295649680591</v>
      </c>
      <c r="P52" s="241">
        <f>M127*X52</f>
        <v>2.6238848518594913</v>
      </c>
      <c r="Q52" s="241">
        <f>AA52*Balance!$H$13</f>
        <v>139.24645333333333</v>
      </c>
      <c r="R52" s="241">
        <f ca="1">AF52*Balance!$H$13</f>
        <v>26.302107851851847</v>
      </c>
      <c r="S52" s="242">
        <f t="shared" si="39"/>
        <v>171.32774898301392</v>
      </c>
      <c r="T52" s="242">
        <f t="shared" ref="T52:T57" ca="1" si="54">R52+P52</f>
        <v>28.925992703711337</v>
      </c>
      <c r="U52" s="243"/>
      <c r="W52" s="244">
        <f t="shared" si="40"/>
        <v>10.443484</v>
      </c>
      <c r="X52" s="244">
        <f t="shared" si="41"/>
        <v>1</v>
      </c>
      <c r="Y52" s="256"/>
      <c r="Z52" s="257"/>
      <c r="AA52" s="246">
        <f>IF(AA49=AB49,AB52,IF(AA49=AC49,AC52,IF(AA49=AD49,AD52,IF(AA49=AE49,AE52,"Error"))))</f>
        <v>6.9623226666666662</v>
      </c>
      <c r="AB52" s="244">
        <f>W52/(Balance!$H$17*Balance!$H$18*Balance!$H$19)*Balance!$H$22</f>
        <v>6.9623226666666662</v>
      </c>
      <c r="AC52" s="244">
        <f>W52/Balance!$H$18*Balance!$H$22</f>
        <v>18.798271199999999</v>
      </c>
      <c r="AD52" s="244">
        <f>W52/(Balance!$H$18*Balance!$H$19)*Balance!$H$23</f>
        <v>20.306774444444443</v>
      </c>
      <c r="AE52" s="245">
        <f>W52/(Balance!$H$18*Balance!$H$19)*Balance!$H$24</f>
        <v>12.764258222222223</v>
      </c>
      <c r="AF52" s="246">
        <f ca="1">IF(AF49=AG49,AG52,IF(AF49=AH49,AH52,IF(AF49=AI49,AI52,IF(AF49=AJ49,AJ52,"Error"))))</f>
        <v>1.3151053925925924</v>
      </c>
      <c r="AG52" s="244">
        <f ca="1">W52/(Balance!$H$17*Balance!$H$18*Balance!$H$19)*Balance!$G$22/1000</f>
        <v>1.3151053925925924</v>
      </c>
      <c r="AH52" s="244">
        <f ca="1">W52/Balance!$H$18*Balance!$G$22/1000</f>
        <v>3.5507845599999999</v>
      </c>
      <c r="AI52" s="244">
        <f ca="1">W52/(Balance!$H$18*Balance!$H$19)*Balance!$G$23/1000</f>
        <v>2.8940607116402108</v>
      </c>
      <c r="AJ52" s="245">
        <f ca="1">W52/(Balance!$H$18*Balance!$H$19)*Balance!$G$24/1000</f>
        <v>0.24658226111111112</v>
      </c>
      <c r="AL52" s="258" t="str">
        <f t="shared" si="33"/>
        <v>Ti-Alu integral</v>
      </c>
      <c r="AM52" s="259">
        <f t="shared" si="34"/>
        <v>32.081295649680591</v>
      </c>
      <c r="AN52" s="259">
        <f t="shared" si="44"/>
        <v>139.24645333333333</v>
      </c>
      <c r="AO52" s="259">
        <f t="shared" ca="1" si="45"/>
        <v>28.925992703711337</v>
      </c>
    </row>
    <row r="53" spans="1:41" s="238" customFormat="1" ht="38.25" x14ac:dyDescent="0.25">
      <c r="A53" t="str">
        <f t="shared" si="35"/>
        <v>05 PH Ti-Alu integral with PU insulation</v>
      </c>
      <c r="B53" s="201" t="str">
        <f t="shared" si="32"/>
        <v>05 PH Ti-Alu integral with PU insulation</v>
      </c>
      <c r="C53" s="239" t="str">
        <f t="shared" si="46"/>
        <v>05</v>
      </c>
      <c r="D53" s="248" t="str">
        <f>D143</f>
        <v>PH Ti-Alu integral with PU insulation</v>
      </c>
      <c r="E53" s="261" t="str">
        <f>E143</f>
        <v>Soft timber-Alu integral frame with PU-insulation form PHI spacer certification, cool, temperate climate</v>
      </c>
      <c r="F53" s="249">
        <f>F143</f>
        <v>0.73</v>
      </c>
      <c r="G53" s="240">
        <v>0.7</v>
      </c>
      <c r="H53" s="251">
        <f t="shared" si="36"/>
        <v>0.7</v>
      </c>
      <c r="I53" s="254">
        <f>G143</f>
        <v>3.1E-2</v>
      </c>
      <c r="J53" s="332">
        <v>2.8000000000000001E-2</v>
      </c>
      <c r="K53" s="255">
        <f t="shared" si="37"/>
        <v>2.8000000000000001E-2</v>
      </c>
      <c r="L53" s="254">
        <f>H143</f>
        <v>9.4E-2</v>
      </c>
      <c r="M53" s="332">
        <v>8.5999999999999993E-2</v>
      </c>
      <c r="N53" s="255">
        <f t="shared" si="38"/>
        <v>8.5999999999999993E-2</v>
      </c>
      <c r="O53" s="241">
        <f>L143*X53</f>
        <v>29.103820856823432</v>
      </c>
      <c r="P53" s="241">
        <f>M143*X53</f>
        <v>2.8252148010818812</v>
      </c>
      <c r="Q53" s="241">
        <f>AA53*Balance!$H$13</f>
        <v>92.903999999999982</v>
      </c>
      <c r="R53" s="241">
        <f ca="1">AF53*Balance!$H$13</f>
        <v>17.548533333333328</v>
      </c>
      <c r="S53" s="242">
        <f t="shared" ref="S53" si="55">Q53+O53</f>
        <v>122.00782085682341</v>
      </c>
      <c r="T53" s="242">
        <f t="shared" ref="T53" ca="1" si="56">R53+P53</f>
        <v>20.373748134415209</v>
      </c>
      <c r="U53" s="243"/>
      <c r="W53" s="244">
        <f>(H53*N53+K53)*$F$6</f>
        <v>6.9677999999999987</v>
      </c>
      <c r="X53" s="244">
        <f t="shared" si="41"/>
        <v>0.91489361702127647</v>
      </c>
      <c r="Y53" s="256"/>
      <c r="Z53" s="257"/>
      <c r="AA53" s="246">
        <f>IF(AA50=AB50,AB53,IF(AA50=AC50,AC53,IF(AA50=AD50,AD53,IF(AA50=AE50,AE53,"Error"))))</f>
        <v>4.6451999999999991</v>
      </c>
      <c r="AB53" s="244">
        <f>W53/(Balance!$H$17*Balance!$H$18*Balance!$H$19)*Balance!$H$22</f>
        <v>4.6451999999999991</v>
      </c>
      <c r="AC53" s="244">
        <f>W53/Balance!$H$18*Balance!$H$22</f>
        <v>12.542039999999998</v>
      </c>
      <c r="AD53" s="244">
        <f>W53/(Balance!$H$18*Balance!$H$19)*Balance!$H$23</f>
        <v>13.548499999999997</v>
      </c>
      <c r="AE53" s="245">
        <f>W53/(Balance!$H$18*Balance!$H$19)*Balance!$H$24</f>
        <v>8.5161999999999995</v>
      </c>
      <c r="AF53" s="246">
        <f ca="1">IF(AF50=AG50,AG53,IF(AF50=AH50,AH53,IF(AF50=AI50,AI53,IF(AF50=AJ50,AJ53,"Error"))))</f>
        <v>0.87742666666666647</v>
      </c>
      <c r="AG53" s="244">
        <f ca="1">W53/(Balance!$H$17*Balance!$H$18*Balance!$H$19)*Balance!$G$22/1000</f>
        <v>0.87742666666666647</v>
      </c>
      <c r="AH53" s="244">
        <f ca="1">W53/Balance!$H$18*Balance!$G$22/1000</f>
        <v>2.3690519999999995</v>
      </c>
      <c r="AI53" s="244">
        <f ca="1">W53/(Balance!$H$18*Balance!$H$19)*Balance!$G$23/1000</f>
        <v>1.9308916666666656</v>
      </c>
      <c r="AJ53" s="245">
        <f ca="1">W53/(Balance!$H$18*Balance!$H$19)*Balance!$G$24/1000</f>
        <v>0.16451749999999996</v>
      </c>
      <c r="AL53" s="258" t="str">
        <f t="shared" si="33"/>
        <v>PH Ti-Alu integral with PU insulation</v>
      </c>
      <c r="AM53" s="259">
        <f t="shared" si="34"/>
        <v>29.103820856823432</v>
      </c>
      <c r="AN53" s="259">
        <f t="shared" si="44"/>
        <v>92.903999999999982</v>
      </c>
      <c r="AO53" s="259">
        <f t="shared" ca="1" si="45"/>
        <v>20.373748134415209</v>
      </c>
    </row>
    <row r="54" spans="1:41" s="238" customFormat="1" ht="25.5" x14ac:dyDescent="0.25">
      <c r="A54" t="str">
        <f t="shared" si="35"/>
        <v>06 Ti-Alu</v>
      </c>
      <c r="B54" s="201" t="str">
        <f t="shared" si="32"/>
        <v>06 Ti-Alu</v>
      </c>
      <c r="C54" s="239" t="str">
        <f t="shared" si="46"/>
        <v>06</v>
      </c>
      <c r="D54" s="248" t="str">
        <f>D159</f>
        <v>Ti-Alu</v>
      </c>
      <c r="E54" s="261" t="str">
        <f>E159</f>
        <v>Soft timber-Alu frame form PHI spacer certification, warm climate</v>
      </c>
      <c r="F54" s="249">
        <f>F159</f>
        <v>1.19</v>
      </c>
      <c r="G54" s="240"/>
      <c r="H54" s="251">
        <f t="shared" si="36"/>
        <v>1.19</v>
      </c>
      <c r="I54" s="254">
        <f>G159</f>
        <v>3.7999999999999999E-2</v>
      </c>
      <c r="J54" s="332"/>
      <c r="K54" s="255">
        <f t="shared" si="37"/>
        <v>3.7999999999999999E-2</v>
      </c>
      <c r="L54" s="254">
        <f>H159</f>
        <v>0.12</v>
      </c>
      <c r="M54" s="332"/>
      <c r="N54" s="255">
        <f t="shared" si="38"/>
        <v>0.12</v>
      </c>
      <c r="O54" s="241">
        <f>L159*X54</f>
        <v>42.503561401381887</v>
      </c>
      <c r="P54" s="241">
        <f>M159*X54</f>
        <v>4.6508588960040713</v>
      </c>
      <c r="Q54" s="241">
        <f>AA54*Balance!$H$13</f>
        <v>190.44266666666664</v>
      </c>
      <c r="R54" s="241">
        <f ca="1">AF54*Balance!$H$13</f>
        <v>35.972503703703701</v>
      </c>
      <c r="S54" s="242">
        <f t="shared" si="39"/>
        <v>232.94622806804853</v>
      </c>
      <c r="T54" s="242">
        <f t="shared" ca="1" si="54"/>
        <v>40.623362599707775</v>
      </c>
      <c r="U54" s="243"/>
      <c r="W54" s="244">
        <f t="shared" si="40"/>
        <v>14.283199999999999</v>
      </c>
      <c r="X54" s="244">
        <f t="shared" si="41"/>
        <v>1</v>
      </c>
      <c r="Y54" s="256"/>
      <c r="Z54" s="257"/>
      <c r="AA54" s="246">
        <f t="shared" si="42"/>
        <v>9.5221333333333327</v>
      </c>
      <c r="AB54" s="244">
        <f>W54/(Balance!$H$17*Balance!$H$18*Balance!$H$19)*Balance!$H$22</f>
        <v>9.5221333333333327</v>
      </c>
      <c r="AC54" s="244">
        <f>W54/Balance!$H$18*Balance!$H$22</f>
        <v>25.709759999999999</v>
      </c>
      <c r="AD54" s="244">
        <f>W54/(Balance!$H$18*Balance!$H$19)*Balance!$H$23</f>
        <v>27.772888888888886</v>
      </c>
      <c r="AE54" s="245">
        <f>W54/(Balance!$H$18*Balance!$H$19)*Balance!$H$24</f>
        <v>17.457244444444445</v>
      </c>
      <c r="AF54" s="246">
        <f t="shared" ca="1" si="43"/>
        <v>1.7986251851851851</v>
      </c>
      <c r="AG54" s="244">
        <f ca="1">W54/(Balance!$H$17*Balance!$H$18*Balance!$H$19)*Balance!$G$22/1000</f>
        <v>1.7986251851851851</v>
      </c>
      <c r="AH54" s="244">
        <f ca="1">W54/Balance!$H$18*Balance!$G$22/1000</f>
        <v>4.8562879999999993</v>
      </c>
      <c r="AI54" s="244">
        <f ca="1">W54/(Balance!$H$18*Balance!$H$19)*Balance!$G$23/1000</f>
        <v>3.9581089947089931</v>
      </c>
      <c r="AJ54" s="245">
        <f ca="1">W54/(Balance!$H$18*Balance!$H$19)*Balance!$G$24/1000</f>
        <v>0.33724222222222222</v>
      </c>
      <c r="AL54" s="258" t="str">
        <f t="shared" si="33"/>
        <v>Ti-Alu</v>
      </c>
      <c r="AM54" s="259">
        <f t="shared" si="34"/>
        <v>42.503561401381887</v>
      </c>
      <c r="AN54" s="259">
        <f t="shared" si="44"/>
        <v>190.44266666666664</v>
      </c>
      <c r="AO54" s="259">
        <f t="shared" ca="1" si="45"/>
        <v>40.623362599707775</v>
      </c>
    </row>
    <row r="55" spans="1:41" s="238" customFormat="1" ht="25.5" x14ac:dyDescent="0.25">
      <c r="A55" t="str">
        <f t="shared" si="35"/>
        <v>07 PH Ti-Alu</v>
      </c>
      <c r="B55" s="201" t="str">
        <f t="shared" si="32"/>
        <v>07 PH Ti-Alu</v>
      </c>
      <c r="C55" s="239" t="str">
        <f t="shared" si="46"/>
        <v>07</v>
      </c>
      <c r="D55" s="248" t="str">
        <f>D175</f>
        <v>PH Ti-Alu</v>
      </c>
      <c r="E55" s="261" t="str">
        <f>E175</f>
        <v>Soft timber-Alu frame with XPS-insulation form PHI spacer certification, warm climate</v>
      </c>
      <c r="F55" s="249">
        <f>F175</f>
        <v>0.75</v>
      </c>
      <c r="G55" s="240"/>
      <c r="H55" s="251">
        <f t="shared" si="36"/>
        <v>0.75</v>
      </c>
      <c r="I55" s="254">
        <f>G175</f>
        <v>3.2000000000000001E-2</v>
      </c>
      <c r="J55" s="332"/>
      <c r="K55" s="255">
        <f t="shared" si="37"/>
        <v>3.2000000000000001E-2</v>
      </c>
      <c r="L55" s="254">
        <f>H175</f>
        <v>0.12</v>
      </c>
      <c r="M55" s="332"/>
      <c r="N55" s="255">
        <f t="shared" si="38"/>
        <v>0.12</v>
      </c>
      <c r="O55" s="241">
        <f>L175*X55</f>
        <v>44.131236463393122</v>
      </c>
      <c r="P55" s="241">
        <f>M175*X55</f>
        <v>5.3242612858665384</v>
      </c>
      <c r="Q55" s="241">
        <f>AA55*Balance!$H$13</f>
        <v>128.50666666666666</v>
      </c>
      <c r="R55" s="241">
        <f ca="1">AF55*Balance!$H$13</f>
        <v>24.273481481481483</v>
      </c>
      <c r="S55" s="242">
        <f t="shared" si="39"/>
        <v>172.63790313005978</v>
      </c>
      <c r="T55" s="242">
        <f t="shared" ca="1" si="54"/>
        <v>29.59774276734802</v>
      </c>
      <c r="U55" s="243"/>
      <c r="W55" s="244">
        <f t="shared" si="40"/>
        <v>9.6379999999999999</v>
      </c>
      <c r="X55" s="244">
        <f t="shared" si="41"/>
        <v>1</v>
      </c>
      <c r="Y55" s="256"/>
      <c r="Z55" s="257"/>
      <c r="AA55" s="246">
        <f t="shared" si="42"/>
        <v>6.4253333333333327</v>
      </c>
      <c r="AB55" s="244">
        <f>W55/(Balance!$H$17*Balance!$H$18*Balance!$H$19)*Balance!$H$22</f>
        <v>6.4253333333333327</v>
      </c>
      <c r="AC55" s="244">
        <f>W55/Balance!$H$18*Balance!$H$22</f>
        <v>17.348400000000002</v>
      </c>
      <c r="AD55" s="244">
        <f>W55/(Balance!$H$18*Balance!$H$19)*Balance!$H$23</f>
        <v>18.740555555555552</v>
      </c>
      <c r="AE55" s="245">
        <f>W55/(Balance!$H$18*Balance!$H$19)*Balance!$H$24</f>
        <v>11.779777777777777</v>
      </c>
      <c r="AF55" s="246">
        <f t="shared" ca="1" si="43"/>
        <v>1.2136740740740741</v>
      </c>
      <c r="AG55" s="244">
        <f ca="1">W55/(Balance!$H$17*Balance!$H$18*Balance!$H$19)*Balance!$G$22/1000</f>
        <v>1.2136740740740741</v>
      </c>
      <c r="AH55" s="244">
        <f ca="1">W55/Balance!$H$18*Balance!$G$22/1000</f>
        <v>3.2769200000000001</v>
      </c>
      <c r="AI55" s="244">
        <f ca="1">W55/(Balance!$H$18*Balance!$H$19)*Balance!$G$23/1000</f>
        <v>2.6708478835978822</v>
      </c>
      <c r="AJ55" s="245">
        <f ca="1">W55/(Balance!$H$18*Balance!$H$19)*Balance!$G$24/1000</f>
        <v>0.22756388888888887</v>
      </c>
      <c r="AL55" s="258" t="str">
        <f t="shared" si="33"/>
        <v>PH Ti-Alu</v>
      </c>
      <c r="AM55" s="259">
        <f t="shared" si="34"/>
        <v>44.131236463393122</v>
      </c>
      <c r="AN55" s="259">
        <f t="shared" si="44"/>
        <v>128.50666666666666</v>
      </c>
      <c r="AO55" s="259">
        <f t="shared" ca="1" si="45"/>
        <v>29.59774276734802</v>
      </c>
    </row>
    <row r="56" spans="1:41" s="238" customFormat="1" ht="25.5" x14ac:dyDescent="0.25">
      <c r="A56" t="str">
        <f t="shared" si="35"/>
        <v>08 Vinyl frame</v>
      </c>
      <c r="B56" s="201" t="str">
        <f t="shared" si="32"/>
        <v>08 Vinyl frame</v>
      </c>
      <c r="C56" s="239" t="str">
        <f t="shared" si="46"/>
        <v>08</v>
      </c>
      <c r="D56" s="248" t="str">
        <f>D191</f>
        <v>Vinyl frame</v>
      </c>
      <c r="E56" s="261" t="str">
        <f>E191</f>
        <v>Vinyl frame form PHI spacer certification, warm climate with GRP reinvorcement</v>
      </c>
      <c r="F56" s="249">
        <f>F191</f>
        <v>1.157</v>
      </c>
      <c r="G56" s="240"/>
      <c r="H56" s="251">
        <f t="shared" si="36"/>
        <v>1.157</v>
      </c>
      <c r="I56" s="254">
        <f>G191</f>
        <v>0.04</v>
      </c>
      <c r="J56" s="332"/>
      <c r="K56" s="255">
        <f t="shared" si="37"/>
        <v>0.04</v>
      </c>
      <c r="L56" s="254">
        <f>H191</f>
        <v>0.124</v>
      </c>
      <c r="M56" s="332"/>
      <c r="N56" s="255">
        <f t="shared" si="38"/>
        <v>0.124</v>
      </c>
      <c r="O56" s="241">
        <f>L191*X56</f>
        <v>36.203898818082685</v>
      </c>
      <c r="P56" s="241">
        <f>M191*X56</f>
        <v>7.3581845731253486</v>
      </c>
      <c r="Q56" s="241">
        <f>AA56*Balance!$H$13</f>
        <v>193.25296000000003</v>
      </c>
      <c r="R56" s="241">
        <f ca="1">AF56*Balance!$H$13</f>
        <v>36.503336888888889</v>
      </c>
      <c r="S56" s="242">
        <f t="shared" si="39"/>
        <v>229.45685881808271</v>
      </c>
      <c r="T56" s="242">
        <f t="shared" ca="1" si="54"/>
        <v>43.861521462014238</v>
      </c>
      <c r="U56" s="243"/>
      <c r="W56" s="244">
        <f t="shared" si="40"/>
        <v>14.493972000000001</v>
      </c>
      <c r="X56" s="244">
        <f t="shared" si="41"/>
        <v>1</v>
      </c>
      <c r="Y56" s="256"/>
      <c r="Z56" s="257"/>
      <c r="AA56" s="246">
        <f t="shared" si="42"/>
        <v>9.6626480000000008</v>
      </c>
      <c r="AB56" s="244">
        <f>W56/(Balance!$H$17*Balance!$H$18*Balance!$H$19)*Balance!$H$22</f>
        <v>9.6626480000000008</v>
      </c>
      <c r="AC56" s="244">
        <f>W56/Balance!$H$18*Balance!$H$22</f>
        <v>26.089149600000002</v>
      </c>
      <c r="AD56" s="244">
        <f>W56/(Balance!$H$18*Balance!$H$19)*Balance!$H$23</f>
        <v>28.182723333333335</v>
      </c>
      <c r="AE56" s="245">
        <f>W56/(Balance!$H$18*Balance!$H$19)*Balance!$H$24</f>
        <v>17.714854666666668</v>
      </c>
      <c r="AF56" s="246">
        <f t="shared" ca="1" si="43"/>
        <v>1.8251668444444444</v>
      </c>
      <c r="AG56" s="244">
        <f ca="1">W56/(Balance!$H$17*Balance!$H$18*Balance!$H$19)*Balance!$G$22/1000</f>
        <v>1.8251668444444444</v>
      </c>
      <c r="AH56" s="244">
        <f ca="1">W56/Balance!$H$18*Balance!$G$22/1000</f>
        <v>4.9279504800000007</v>
      </c>
      <c r="AI56" s="244">
        <f ca="1">W56/(Balance!$H$18*Balance!$H$19)*Balance!$G$23/1000</f>
        <v>4.0165173730158719</v>
      </c>
      <c r="AJ56" s="245">
        <f ca="1">W56/(Balance!$H$18*Balance!$H$19)*Balance!$G$24/1000</f>
        <v>0.34221878333333339</v>
      </c>
      <c r="AL56" s="258" t="str">
        <f t="shared" si="33"/>
        <v>Vinyl frame</v>
      </c>
      <c r="AM56" s="259">
        <f t="shared" si="34"/>
        <v>36.203898818082685</v>
      </c>
      <c r="AN56" s="259">
        <f t="shared" si="44"/>
        <v>193.25296000000003</v>
      </c>
      <c r="AO56" s="259">
        <f t="shared" ca="1" si="45"/>
        <v>43.861521462014238</v>
      </c>
    </row>
    <row r="57" spans="1:41" s="238" customFormat="1" ht="25.5" x14ac:dyDescent="0.25">
      <c r="A57" t="str">
        <f t="shared" si="35"/>
        <v>09 PH Vinyl frame</v>
      </c>
      <c r="B57" s="201" t="str">
        <f t="shared" si="32"/>
        <v>09 PH Vinyl frame</v>
      </c>
      <c r="C57" s="239" t="str">
        <f t="shared" si="46"/>
        <v>09</v>
      </c>
      <c r="D57" s="248" t="str">
        <f>D207</f>
        <v>PH Vinyl frame</v>
      </c>
      <c r="E57" s="261" t="str">
        <f>E207</f>
        <v>Vinyl frame form PHI spacer certification, warm climate with GRP reinforcement</v>
      </c>
      <c r="F57" s="249">
        <f>F207</f>
        <v>0.82099999999999995</v>
      </c>
      <c r="G57" s="240"/>
      <c r="H57" s="251">
        <f t="shared" si="36"/>
        <v>0.82099999999999995</v>
      </c>
      <c r="I57" s="254">
        <f>G207</f>
        <v>3.4000000000000002E-2</v>
      </c>
      <c r="J57" s="332"/>
      <c r="K57" s="255">
        <f t="shared" si="37"/>
        <v>3.4000000000000002E-2</v>
      </c>
      <c r="L57" s="254">
        <f>H207</f>
        <v>0.11899999999999999</v>
      </c>
      <c r="M57" s="332"/>
      <c r="N57" s="255">
        <f t="shared" si="38"/>
        <v>0.11899999999999999</v>
      </c>
      <c r="O57" s="241">
        <f>L207*X57</f>
        <v>39.715137164019069</v>
      </c>
      <c r="P57" s="241">
        <f>M207*X57</f>
        <v>8.0559172897646416</v>
      </c>
      <c r="Q57" s="241">
        <f>AA57*Balance!$H$13</f>
        <v>138.7229466666667</v>
      </c>
      <c r="R57" s="241">
        <f ca="1">AF57*Balance!$H$13</f>
        <v>26.203223259259261</v>
      </c>
      <c r="S57" s="242">
        <f t="shared" si="39"/>
        <v>178.43808383068577</v>
      </c>
      <c r="T57" s="242">
        <f t="shared" ca="1" si="54"/>
        <v>34.259140549023904</v>
      </c>
      <c r="U57" s="243"/>
      <c r="W57" s="244">
        <f t="shared" si="40"/>
        <v>10.404221000000001</v>
      </c>
      <c r="X57" s="244">
        <f t="shared" si="41"/>
        <v>1</v>
      </c>
      <c r="Y57" s="256"/>
      <c r="Z57" s="257"/>
      <c r="AA57" s="246">
        <f t="shared" si="42"/>
        <v>6.9361473333333343</v>
      </c>
      <c r="AB57" s="244">
        <f>W57/(Balance!$H$17*Balance!$H$18*Balance!$H$19)*Balance!$H$22</f>
        <v>6.9361473333333343</v>
      </c>
      <c r="AC57" s="244">
        <f>W57/Balance!$H$18*Balance!$H$22</f>
        <v>18.727597800000002</v>
      </c>
      <c r="AD57" s="244">
        <f>W57/(Balance!$H$18*Balance!$H$19)*Balance!$H$23</f>
        <v>20.230429722222226</v>
      </c>
      <c r="AE57" s="245">
        <f>W57/(Balance!$H$18*Balance!$H$19)*Balance!$H$24</f>
        <v>12.716270111111115</v>
      </c>
      <c r="AF57" s="246">
        <f t="shared" ca="1" si="43"/>
        <v>1.310161162962963</v>
      </c>
      <c r="AG57" s="244">
        <f ca="1">W57/(Balance!$H$17*Balance!$H$18*Balance!$H$19)*Balance!$G$22/1000</f>
        <v>1.310161162962963</v>
      </c>
      <c r="AH57" s="244">
        <f ca="1">W57/Balance!$H$18*Balance!$G$22/1000</f>
        <v>3.5374351400000004</v>
      </c>
      <c r="AI57" s="244">
        <f ca="1">W57/(Balance!$H$18*Balance!$H$19)*Balance!$G$23/1000</f>
        <v>2.8831802903439145</v>
      </c>
      <c r="AJ57" s="245">
        <f ca="1">W57/(Balance!$H$18*Balance!$H$19)*Balance!$G$24/1000</f>
        <v>0.2456552180555556</v>
      </c>
      <c r="AL57" s="258" t="str">
        <f t="shared" si="33"/>
        <v>PH Vinyl frame</v>
      </c>
      <c r="AM57" s="259">
        <f t="shared" si="34"/>
        <v>39.715137164019069</v>
      </c>
      <c r="AN57" s="259">
        <f t="shared" si="44"/>
        <v>138.7229466666667</v>
      </c>
      <c r="AO57" s="259">
        <f t="shared" ca="1" si="45"/>
        <v>34.259140549023904</v>
      </c>
    </row>
    <row r="58" spans="1:41" s="238" customFormat="1" ht="25.5" x14ac:dyDescent="0.25">
      <c r="A58" t="str">
        <f t="shared" si="35"/>
        <v>10 Alu frame</v>
      </c>
      <c r="B58" s="201" t="str">
        <f t="shared" si="32"/>
        <v>10 Alu frame</v>
      </c>
      <c r="C58" s="239" t="str">
        <f t="shared" si="46"/>
        <v>10</v>
      </c>
      <c r="D58" s="248" t="str">
        <f>D239</f>
        <v>Alu frame</v>
      </c>
      <c r="E58" s="261" t="str">
        <f>E239</f>
        <v>Alu frame seperated by high rigid PU-foam form PHI spacer certification, warm climate</v>
      </c>
      <c r="F58" s="249">
        <f>F239</f>
        <v>1.17</v>
      </c>
      <c r="G58" s="240"/>
      <c r="H58" s="251">
        <f t="shared" si="36"/>
        <v>1.17</v>
      </c>
      <c r="I58" s="254">
        <f>G239</f>
        <v>4.2999999999999997E-2</v>
      </c>
      <c r="J58" s="332"/>
      <c r="K58" s="255">
        <f t="shared" si="37"/>
        <v>4.2999999999999997E-2</v>
      </c>
      <c r="L58" s="254">
        <f>H239</f>
        <v>0.14199999999999999</v>
      </c>
      <c r="M58" s="332"/>
      <c r="N58" s="255">
        <f t="shared" si="38"/>
        <v>0.14199999999999999</v>
      </c>
      <c r="O58" s="241">
        <f>L239*X58</f>
        <v>103.68745902652655</v>
      </c>
      <c r="P58" s="241">
        <f>M239*X58</f>
        <v>20.516830456053697</v>
      </c>
      <c r="Q58" s="241">
        <f>AA58*Balance!$H$13</f>
        <v>220.29413333333335</v>
      </c>
      <c r="R58" s="241">
        <f ca="1">AF58*Balance!$H$13</f>
        <v>41.611114074074074</v>
      </c>
      <c r="S58" s="242">
        <f t="shared" ref="S58:S59" si="57">Q58+O58</f>
        <v>323.98159235985992</v>
      </c>
      <c r="T58" s="242">
        <f t="shared" ref="T58:T59" ca="1" si="58">R58+P58</f>
        <v>62.12794453012777</v>
      </c>
      <c r="U58" s="243"/>
      <c r="W58" s="244">
        <f t="shared" si="40"/>
        <v>16.52206</v>
      </c>
      <c r="X58" s="244">
        <f t="shared" si="41"/>
        <v>1</v>
      </c>
      <c r="Y58" s="256"/>
      <c r="Z58" s="257"/>
      <c r="AA58" s="246">
        <f>IF(AA56=AB56,AB58,IF(AA56=AC56,AC58,IF(AA56=AD56,AD58,IF(AA56=AE56,AE58,"Error"))))</f>
        <v>11.014706666666667</v>
      </c>
      <c r="AB58" s="244">
        <f>W58/(Balance!$H$17*Balance!$H$18*Balance!$H$19)*Balance!$H$22</f>
        <v>11.014706666666667</v>
      </c>
      <c r="AC58" s="244">
        <f>W58/Balance!$H$18*Balance!$H$22</f>
        <v>29.739708</v>
      </c>
      <c r="AD58" s="244">
        <f>W58/(Balance!$H$18*Balance!$H$19)*Balance!$H$23</f>
        <v>32.126227777777771</v>
      </c>
      <c r="AE58" s="245">
        <f>W58/(Balance!$H$18*Balance!$H$19)*Balance!$H$24</f>
        <v>20.193628888888888</v>
      </c>
      <c r="AF58" s="246">
        <f ca="1">IF(AF56=AG56,AG58,IF(AF56=AH56,AH58,IF(AF56=AI56,AI58,IF(AF56=AJ56,AJ58,"Error"))))</f>
        <v>2.0805557037037037</v>
      </c>
      <c r="AG58" s="244">
        <f ca="1">W58/(Balance!$H$17*Balance!$H$18*Balance!$H$19)*Balance!$G$22/1000</f>
        <v>2.0805557037037037</v>
      </c>
      <c r="AH58" s="244">
        <f ca="1">W58/Balance!$H$18*Balance!$G$22/1000</f>
        <v>5.6175003999999999</v>
      </c>
      <c r="AI58" s="244">
        <f ca="1">W58/(Balance!$H$18*Balance!$H$19)*Balance!$G$23/1000</f>
        <v>4.5785338227513206</v>
      </c>
      <c r="AJ58" s="245">
        <f ca="1">W58/(Balance!$H$18*Balance!$H$19)*Balance!$G$24/1000</f>
        <v>0.39010419444444439</v>
      </c>
      <c r="AL58" s="258" t="str">
        <f t="shared" si="33"/>
        <v>Alu frame</v>
      </c>
      <c r="AM58" s="259">
        <f t="shared" si="34"/>
        <v>103.68745902652655</v>
      </c>
      <c r="AN58" s="259">
        <f t="shared" si="44"/>
        <v>220.29413333333335</v>
      </c>
      <c r="AO58" s="259">
        <f t="shared" ca="1" si="45"/>
        <v>62.12794453012777</v>
      </c>
    </row>
    <row r="59" spans="1:41" s="238" customFormat="1" ht="25.5" x14ac:dyDescent="0.25">
      <c r="A59" t="str">
        <f t="shared" si="35"/>
        <v>11 PH Alu frame</v>
      </c>
      <c r="B59" s="201" t="str">
        <f t="shared" si="32"/>
        <v>11 PH Alu frame</v>
      </c>
      <c r="C59" s="239" t="str">
        <f t="shared" si="46"/>
        <v>11</v>
      </c>
      <c r="D59" s="248" t="str">
        <f>D255</f>
        <v>PH Alu frame</v>
      </c>
      <c r="E59" s="261" t="str">
        <f>E255</f>
        <v>Alu frame seperated by high rigid PU-foam form PHI spacer certification, cool, temperate climate</v>
      </c>
      <c r="F59" s="249">
        <f>F255</f>
        <v>0.71199999999999997</v>
      </c>
      <c r="G59" s="240"/>
      <c r="H59" s="251">
        <f t="shared" ref="H59:H63" si="59">IF(ISNUMBER(G59),G59,F59)</f>
        <v>0.71199999999999997</v>
      </c>
      <c r="I59" s="254">
        <f>G255</f>
        <v>3.5999999999999997E-2</v>
      </c>
      <c r="J59" s="332"/>
      <c r="K59" s="255">
        <f t="shared" ref="K59:K63" si="60">IF(ISNUMBER(J59),J59,I59)</f>
        <v>3.5999999999999997E-2</v>
      </c>
      <c r="L59" s="254">
        <f>H255</f>
        <v>0.14199999999999999</v>
      </c>
      <c r="M59" s="332"/>
      <c r="N59" s="255">
        <f t="shared" si="38"/>
        <v>0.14199999999999999</v>
      </c>
      <c r="O59" s="241">
        <f>L255*X59</f>
        <v>106.23399594486207</v>
      </c>
      <c r="P59" s="241">
        <f>M255*X59</f>
        <v>20.927026599538401</v>
      </c>
      <c r="Q59" s="241">
        <f>AA59*Balance!$H$13</f>
        <v>144.41621333333327</v>
      </c>
      <c r="R59" s="241">
        <f ca="1">AF59*Balance!$H$13</f>
        <v>27.278618074074068</v>
      </c>
      <c r="S59" s="242">
        <f t="shared" si="57"/>
        <v>250.65020927819535</v>
      </c>
      <c r="T59" s="242">
        <f t="shared" ca="1" si="58"/>
        <v>48.205644673612468</v>
      </c>
      <c r="U59" s="243"/>
      <c r="W59" s="244">
        <f t="shared" ref="W59" si="61">(H59*N59+K59)*$F$6</f>
        <v>10.831215999999998</v>
      </c>
      <c r="X59" s="244">
        <f t="shared" ref="X59" si="62">N59/L59</f>
        <v>1</v>
      </c>
      <c r="Y59" s="256"/>
      <c r="Z59" s="257"/>
      <c r="AA59" s="246">
        <f>IF(AA57=AB57,AB59,IF(AA57=AC57,AC59,IF(AA57=AD57,AD59,IF(AA57=AE57,AE59,"Error"))))</f>
        <v>7.2208106666666643</v>
      </c>
      <c r="AB59" s="244">
        <f>W59/(Balance!$H$17*Balance!$H$18*Balance!$H$19)*Balance!$H$22</f>
        <v>7.2208106666666643</v>
      </c>
      <c r="AC59" s="244">
        <f>W59/Balance!$H$18*Balance!$H$22</f>
        <v>19.496188799999995</v>
      </c>
      <c r="AD59" s="244">
        <f>W59/(Balance!$H$18*Balance!$H$19)*Balance!$H$23</f>
        <v>21.060697777777772</v>
      </c>
      <c r="AE59" s="245">
        <f>W59/(Balance!$H$18*Balance!$H$19)*Balance!$H$24</f>
        <v>13.238152888888886</v>
      </c>
      <c r="AF59" s="246">
        <f ca="1">IF(AF57=AG57,AG59,IF(AF57=AH57,AH59,IF(AF57=AI57,AI59,IF(AF57=AJ57,AJ59,"Error"))))</f>
        <v>1.3639309037037033</v>
      </c>
      <c r="AG59" s="244">
        <f ca="1">W59/(Balance!$H$17*Balance!$H$18*Balance!$H$19)*Balance!$G$22/1000</f>
        <v>1.3639309037037033</v>
      </c>
      <c r="AH59" s="244">
        <f ca="1">W59/Balance!$H$18*Balance!$G$22/1000</f>
        <v>3.682613439999999</v>
      </c>
      <c r="AI59" s="244">
        <f ca="1">W59/(Balance!$H$18*Balance!$H$19)*Balance!$G$23/1000</f>
        <v>3.0015076084656065</v>
      </c>
      <c r="AJ59" s="245">
        <f ca="1">W59/(Balance!$H$18*Balance!$H$19)*Balance!$G$24/1000</f>
        <v>0.25573704444444434</v>
      </c>
      <c r="AL59" s="258" t="str">
        <f t="shared" si="33"/>
        <v>PH Alu frame</v>
      </c>
      <c r="AM59" s="259">
        <f t="shared" si="34"/>
        <v>106.23399594486207</v>
      </c>
      <c r="AN59" s="259">
        <f t="shared" ref="AN59" si="63">Q59</f>
        <v>144.41621333333327</v>
      </c>
      <c r="AO59" s="259">
        <f t="shared" ref="AO59" ca="1" si="64">T59</f>
        <v>48.205644673612468</v>
      </c>
    </row>
    <row r="60" spans="1:41" s="238" customFormat="1" ht="25.5" x14ac:dyDescent="0.25">
      <c r="A60" t="str">
        <f t="shared" si="35"/>
        <v>12 Schüco AWS 90.si+</v>
      </c>
      <c r="B60" s="201" t="str">
        <f t="shared" si="32"/>
        <v>12 Schüco AWS 90.si+</v>
      </c>
      <c r="C60" s="239" t="str">
        <f t="shared" si="46"/>
        <v>12</v>
      </c>
      <c r="D60" s="248" t="str">
        <f>D271</f>
        <v>Schüco AWS 90.si+</v>
      </c>
      <c r="E60" s="261" t="str">
        <f>E271</f>
        <v>According to Ökobaudat, thermal values and frame hight according to PHI certification</v>
      </c>
      <c r="F60" s="249">
        <f>F271</f>
        <v>0.79</v>
      </c>
      <c r="G60" s="240"/>
      <c r="H60" s="251">
        <f t="shared" si="59"/>
        <v>0.79</v>
      </c>
      <c r="I60" s="254">
        <f>G271</f>
        <v>2.3E-2</v>
      </c>
      <c r="J60" s="332"/>
      <c r="K60" s="255">
        <f t="shared" si="60"/>
        <v>2.3E-2</v>
      </c>
      <c r="L60" s="254">
        <f>H271</f>
        <v>0.188</v>
      </c>
      <c r="M60" s="332"/>
      <c r="N60" s="255">
        <f t="shared" si="38"/>
        <v>0.188</v>
      </c>
      <c r="O60" s="241">
        <f>L271*X60</f>
        <v>153.93365591688752</v>
      </c>
      <c r="P60" s="241">
        <f>M271*X60</f>
        <v>43.494536916103975</v>
      </c>
      <c r="Q60" s="241">
        <f>AA60*Balance!$H$13</f>
        <v>180.66773333333333</v>
      </c>
      <c r="R60" s="241">
        <f ca="1">AF60*Balance!$H$13</f>
        <v>34.126127407407402</v>
      </c>
      <c r="S60" s="242">
        <f t="shared" ref="S60:S63" si="65">Q60+O60</f>
        <v>334.60138925022085</v>
      </c>
      <c r="T60" s="242">
        <f t="shared" ref="T60:T63" ca="1" si="66">R60+P60</f>
        <v>77.620664323511377</v>
      </c>
      <c r="U60" s="243"/>
      <c r="W60" s="244">
        <f t="shared" ref="W60:W62" si="67">(H60*N60+K60)*$F$6</f>
        <v>13.550080000000001</v>
      </c>
      <c r="X60" s="244">
        <f t="shared" ref="X60:X62" si="68">N60/L60</f>
        <v>1</v>
      </c>
      <c r="Y60" s="256"/>
      <c r="Z60" s="257"/>
      <c r="AA60" s="246">
        <f>IF(AA61=AB61,AB60,IF(AA61=AC61,AC60,IF(AA61=AD61,AD60,IF(AA61=AE61,AE60,"Error"))))</f>
        <v>9.0333866666666669</v>
      </c>
      <c r="AB60" s="244">
        <f>W60/(Balance!$H$17*Balance!$H$18*Balance!$H$19)*Balance!$H$22</f>
        <v>9.0333866666666669</v>
      </c>
      <c r="AC60" s="244">
        <f>W60/Balance!$H$18*Balance!$H$22</f>
        <v>24.390144000000003</v>
      </c>
      <c r="AD60" s="244">
        <f>W60/(Balance!$H$18*Balance!$H$19)*Balance!$H$23</f>
        <v>26.34737777777778</v>
      </c>
      <c r="AE60" s="245">
        <f>W60/(Balance!$H$18*Balance!$H$19)*Balance!$H$24</f>
        <v>16.561208888888892</v>
      </c>
      <c r="AF60" s="246">
        <f ca="1">IF(AF61=AG61,AG60,IF(AF61=AH61,AH60,IF(AF61=AI61,AI60,IF(AF61=AJ61,AJ60,"Error"))))</f>
        <v>1.7063063703703703</v>
      </c>
      <c r="AG60" s="244">
        <f ca="1">W60/(Balance!$H$17*Balance!$H$18*Balance!$H$19)*Balance!$G$22/1000</f>
        <v>1.7063063703703703</v>
      </c>
      <c r="AH60" s="244">
        <f ca="1">W60/Balance!$H$18*Balance!$G$22/1000</f>
        <v>4.6070272000000001</v>
      </c>
      <c r="AI60" s="244">
        <f ca="1">W60/(Balance!$H$18*Balance!$H$19)*Balance!$G$23/1000</f>
        <v>3.7549494179894167</v>
      </c>
      <c r="AJ60" s="245">
        <f ca="1">W60/(Balance!$H$18*Balance!$H$19)*Balance!$G$24/1000</f>
        <v>0.31993244444444446</v>
      </c>
      <c r="AL60" s="258" t="str">
        <f t="shared" ref="AL60:AL63" si="69">D60</f>
        <v>Schüco AWS 90.si+</v>
      </c>
      <c r="AM60" s="259">
        <f t="shared" ref="AM60:AM63" si="70">O60</f>
        <v>153.93365591688752</v>
      </c>
      <c r="AN60" s="259">
        <f t="shared" ref="AN60:AN63" si="71">Q60</f>
        <v>180.66773333333333</v>
      </c>
      <c r="AO60" s="259">
        <f t="shared" ref="AO60:AO63" ca="1" si="72">T60</f>
        <v>77.620664323511377</v>
      </c>
    </row>
    <row r="61" spans="1:41" s="238" customFormat="1" ht="25.5" collapsed="1" x14ac:dyDescent="0.25">
      <c r="A61" t="str">
        <f t="shared" si="35"/>
        <v>13 Smartwin Solar</v>
      </c>
      <c r="B61" s="201" t="str">
        <f>C61&amp;" "&amp;D61</f>
        <v>13 Smartwin Solar</v>
      </c>
      <c r="C61" s="239" t="str">
        <f t="shared" si="46"/>
        <v>13</v>
      </c>
      <c r="D61" s="248" t="str">
        <f>D287</f>
        <v>Smartwin Solar</v>
      </c>
      <c r="E61" s="261" t="str">
        <f>E287</f>
        <v>Spruce/fir frame, special corner conection works as glass carrier (side/top profile)</v>
      </c>
      <c r="F61" s="249">
        <f>F287</f>
        <v>0.749</v>
      </c>
      <c r="G61" s="240"/>
      <c r="H61" s="251">
        <f>IF(ISNUMBER(G61),G61,F61)</f>
        <v>0.749</v>
      </c>
      <c r="I61" s="254">
        <f>G287</f>
        <v>2.5999999999999999E-2</v>
      </c>
      <c r="J61" s="332"/>
      <c r="K61" s="255">
        <f>IF(ISNUMBER(J61),J61,I61)</f>
        <v>2.5999999999999999E-2</v>
      </c>
      <c r="L61" s="254">
        <f>H287</f>
        <v>6.2E-2</v>
      </c>
      <c r="M61" s="332"/>
      <c r="N61" s="255">
        <f>IF(ISNUMBER(M61),M61,L61)</f>
        <v>6.2E-2</v>
      </c>
      <c r="O61" s="241">
        <f>L287*X61</f>
        <v>23.257993376424093</v>
      </c>
      <c r="P61" s="241">
        <f>M287*X61</f>
        <v>1.8261035776776473</v>
      </c>
      <c r="Q61" s="241">
        <f>AA61*Balance!$H$13</f>
        <v>76.301359999999988</v>
      </c>
      <c r="R61" s="241">
        <f ca="1">AF61*Balance!$H$13</f>
        <v>14.412479111111111</v>
      </c>
      <c r="S61" s="242">
        <f t="shared" ref="S61" si="73">Q61+O61</f>
        <v>99.559353376424085</v>
      </c>
      <c r="T61" s="242">
        <f t="shared" ref="T61" ca="1" si="74">R61+P61</f>
        <v>16.238582688788757</v>
      </c>
      <c r="U61" s="243"/>
      <c r="W61" s="244">
        <f t="shared" ref="W61" si="75">(H61*N61+K61)*$F$6</f>
        <v>5.7226020000000002</v>
      </c>
      <c r="X61" s="244">
        <f t="shared" ref="X61" si="76">N61/L61</f>
        <v>1</v>
      </c>
      <c r="Y61" s="256"/>
      <c r="Z61" s="257"/>
      <c r="AA61" s="246">
        <f>IF(AA56=AB56,AB61,IF(AA56=AC56,AC61,IF(AA56=AD56,AD61,IF(AA56=AE56,AE61,"Error"))))</f>
        <v>3.8150679999999997</v>
      </c>
      <c r="AB61" s="244">
        <f>W61/(Balance!$H$17*Balance!$H$18*Balance!$H$19)*Balance!$H$22</f>
        <v>3.8150679999999997</v>
      </c>
      <c r="AC61" s="244">
        <f>W61/Balance!$H$18*Balance!$H$22</f>
        <v>10.300683600000001</v>
      </c>
      <c r="AD61" s="244">
        <f>W61/(Balance!$H$18*Balance!$H$19)*Balance!$H$23</f>
        <v>11.127281666666667</v>
      </c>
      <c r="AE61" s="245">
        <f>W61/(Balance!$H$18*Balance!$H$19)*Balance!$H$24</f>
        <v>6.9942913333333339</v>
      </c>
      <c r="AF61" s="246">
        <f ca="1">IF(AF56=AG56,AG61,IF(AF56=AH56,AH61,IF(AF56=AI56,AI61,IF(AF56=AJ56,AJ61,"Error"))))</f>
        <v>0.72062395555555558</v>
      </c>
      <c r="AG61" s="244">
        <f ca="1">W61/(Balance!$H$17*Balance!$H$18*Balance!$H$19)*Balance!$G$22/1000</f>
        <v>0.72062395555555558</v>
      </c>
      <c r="AH61" s="244">
        <f ca="1">W61/Balance!$H$18*Balance!$G$22/1000</f>
        <v>1.9456846800000001</v>
      </c>
      <c r="AI61" s="244">
        <f ca="1">W61/(Balance!$H$18*Balance!$H$19)*Balance!$G$23/1000</f>
        <v>1.5858268769841264</v>
      </c>
      <c r="AJ61" s="245">
        <f ca="1">W61/(Balance!$H$18*Balance!$H$19)*Balance!$G$24/1000</f>
        <v>0.13511699166666669</v>
      </c>
      <c r="AL61" s="258" t="str">
        <f>D61</f>
        <v>Smartwin Solar</v>
      </c>
      <c r="AM61" s="259">
        <f>O61</f>
        <v>23.257993376424093</v>
      </c>
      <c r="AN61" s="259">
        <f t="shared" ref="AN61" si="77">Q61</f>
        <v>76.301359999999988</v>
      </c>
      <c r="AO61" s="259">
        <f t="shared" ref="AO61" ca="1" si="78">T61</f>
        <v>16.238582688788757</v>
      </c>
    </row>
    <row r="62" spans="1:41" s="238" customFormat="1" hidden="1" outlineLevel="1" x14ac:dyDescent="0.25">
      <c r="A62" t="str">
        <f t="shared" si="35"/>
        <v xml:space="preserve">14 </v>
      </c>
      <c r="B62" s="201" t="str">
        <f t="shared" si="32"/>
        <v xml:space="preserve">14 </v>
      </c>
      <c r="C62" s="239" t="str">
        <f t="shared" si="46"/>
        <v>14</v>
      </c>
      <c r="D62" s="248"/>
      <c r="E62" s="261"/>
      <c r="F62" s="249"/>
      <c r="G62" s="240"/>
      <c r="H62" s="251">
        <f t="shared" si="59"/>
        <v>0</v>
      </c>
      <c r="I62" s="254"/>
      <c r="J62" s="332"/>
      <c r="K62" s="255">
        <f t="shared" si="60"/>
        <v>0</v>
      </c>
      <c r="L62" s="254"/>
      <c r="M62" s="332"/>
      <c r="N62" s="255">
        <f t="shared" si="38"/>
        <v>0</v>
      </c>
      <c r="O62" s="241"/>
      <c r="P62" s="241"/>
      <c r="Q62" s="241">
        <f>AA62*Balance!$H$13</f>
        <v>0</v>
      </c>
      <c r="R62" s="241">
        <f ca="1">AF62*Balance!$H$13</f>
        <v>0</v>
      </c>
      <c r="S62" s="242">
        <f t="shared" si="65"/>
        <v>0</v>
      </c>
      <c r="T62" s="242">
        <f t="shared" ca="1" si="66"/>
        <v>0</v>
      </c>
      <c r="U62" s="243"/>
      <c r="W62" s="244">
        <f t="shared" si="67"/>
        <v>0</v>
      </c>
      <c r="X62" s="244" t="e">
        <f t="shared" si="68"/>
        <v>#DIV/0!</v>
      </c>
      <c r="Y62" s="256"/>
      <c r="Z62" s="257"/>
      <c r="AA62" s="246">
        <f>IF(AA58=AB58,AB62,IF(AA58=AC58,AC62,IF(AA58=AD58,AD62,IF(AA58=AE58,AE62,"Error"))))</f>
        <v>0</v>
      </c>
      <c r="AB62" s="244">
        <f>W62/(Balance!$H$17*Balance!$H$18*Balance!$H$19)*Balance!$H$22</f>
        <v>0</v>
      </c>
      <c r="AC62" s="244">
        <f>W62/Balance!$H$18*Balance!$H$22</f>
        <v>0</v>
      </c>
      <c r="AD62" s="244">
        <f>W62/(Balance!$H$18*Balance!$H$19)*Balance!$H$23</f>
        <v>0</v>
      </c>
      <c r="AE62" s="245">
        <f>W62/(Balance!$H$18*Balance!$H$19)*Balance!$H$24</f>
        <v>0</v>
      </c>
      <c r="AF62" s="246">
        <f ca="1">IF(AF58=AG58,AG62,IF(AF58=AH58,AH62,IF(AF58=AI58,AI62,IF(AF58=AJ58,AJ62,"Error"))))</f>
        <v>0</v>
      </c>
      <c r="AG62" s="244">
        <f ca="1">W62/(Balance!$H$17*Balance!$H$18*Balance!$H$19)*Balance!$G$22/1000</f>
        <v>0</v>
      </c>
      <c r="AH62" s="244">
        <f ca="1">W62/Balance!$H$18*Balance!$G$22/1000</f>
        <v>0</v>
      </c>
      <c r="AI62" s="244">
        <f ca="1">W62/(Balance!$H$18*Balance!$H$19)*Balance!$G$23/1000</f>
        <v>0</v>
      </c>
      <c r="AJ62" s="245">
        <f ca="1">W62/(Balance!$H$18*Balance!$H$19)*Balance!$G$24/1000</f>
        <v>0</v>
      </c>
      <c r="AL62" s="258">
        <f t="shared" si="69"/>
        <v>0</v>
      </c>
      <c r="AM62" s="259">
        <f t="shared" si="70"/>
        <v>0</v>
      </c>
      <c r="AN62" s="259">
        <f t="shared" si="71"/>
        <v>0</v>
      </c>
      <c r="AO62" s="259">
        <f t="shared" ca="1" si="72"/>
        <v>0</v>
      </c>
    </row>
    <row r="63" spans="1:41" s="238" customFormat="1" hidden="1" outlineLevel="1" x14ac:dyDescent="0.25">
      <c r="A63" t="str">
        <f t="shared" si="35"/>
        <v xml:space="preserve">15 </v>
      </c>
      <c r="B63" s="201" t="str">
        <f t="shared" si="32"/>
        <v xml:space="preserve">15 </v>
      </c>
      <c r="C63" s="239" t="str">
        <f t="shared" si="46"/>
        <v>15</v>
      </c>
      <c r="D63" s="248"/>
      <c r="E63" s="261"/>
      <c r="F63" s="249"/>
      <c r="G63" s="240"/>
      <c r="H63" s="251">
        <f t="shared" si="59"/>
        <v>0</v>
      </c>
      <c r="I63" s="254"/>
      <c r="J63" s="332"/>
      <c r="K63" s="255">
        <f t="shared" si="60"/>
        <v>0</v>
      </c>
      <c r="L63" s="254"/>
      <c r="M63" s="332"/>
      <c r="N63" s="255">
        <f t="shared" si="38"/>
        <v>0</v>
      </c>
      <c r="O63" s="241"/>
      <c r="P63" s="241"/>
      <c r="Q63" s="241">
        <f>AA63*Balance!$H$13</f>
        <v>0</v>
      </c>
      <c r="R63" s="241">
        <f ca="1">AF63*Balance!$H$13</f>
        <v>0</v>
      </c>
      <c r="S63" s="242">
        <f t="shared" si="65"/>
        <v>0</v>
      </c>
      <c r="T63" s="242">
        <f t="shared" ca="1" si="66"/>
        <v>0</v>
      </c>
      <c r="U63" s="243"/>
      <c r="W63" s="244">
        <f t="shared" si="40"/>
        <v>0</v>
      </c>
      <c r="X63" s="244" t="e">
        <f t="shared" si="41"/>
        <v>#DIV/0!</v>
      </c>
      <c r="Y63" s="256"/>
      <c r="Z63" s="257"/>
      <c r="AA63" s="246">
        <f>IF(AA59=AB59,AB63,IF(AA59=AC59,AC63,IF(AA59=AD59,AD63,IF(AA59=AE59,AE63,"Error"))))</f>
        <v>0</v>
      </c>
      <c r="AB63" s="244">
        <f>W63/(Balance!$H$17*Balance!$H$18*Balance!$H$19)*Balance!$H$22</f>
        <v>0</v>
      </c>
      <c r="AC63" s="244">
        <f>W63/Balance!$H$18*Balance!$H$22</f>
        <v>0</v>
      </c>
      <c r="AD63" s="244">
        <f>W63/(Balance!$H$18*Balance!$H$19)*Balance!$H$23</f>
        <v>0</v>
      </c>
      <c r="AE63" s="245">
        <f>W63/(Balance!$H$18*Balance!$H$19)*Balance!$H$24</f>
        <v>0</v>
      </c>
      <c r="AF63" s="246">
        <f ca="1">IF(AF59=AG59,AG63,IF(AF59=AH59,AH63,IF(AF59=AI59,AI63,IF(AF59=AJ59,AJ63,"Error"))))</f>
        <v>0</v>
      </c>
      <c r="AG63" s="244">
        <f ca="1">W63/(Balance!$H$17*Balance!$H$18*Balance!$H$19)*Balance!$G$22/1000</f>
        <v>0</v>
      </c>
      <c r="AH63" s="244">
        <f ca="1">W63/Balance!$H$18*Balance!$G$22/1000</f>
        <v>0</v>
      </c>
      <c r="AI63" s="244">
        <f ca="1">W63/(Balance!$H$18*Balance!$H$19)*Balance!$G$23/1000</f>
        <v>0</v>
      </c>
      <c r="AJ63" s="245">
        <f ca="1">W63/(Balance!$H$18*Balance!$H$19)*Balance!$G$24/1000</f>
        <v>0</v>
      </c>
      <c r="AL63" s="258">
        <f t="shared" si="69"/>
        <v>0</v>
      </c>
      <c r="AM63" s="259">
        <f t="shared" si="70"/>
        <v>0</v>
      </c>
      <c r="AN63" s="259">
        <f t="shared" si="71"/>
        <v>0</v>
      </c>
      <c r="AO63" s="259">
        <f t="shared" ca="1" si="72"/>
        <v>0</v>
      </c>
    </row>
    <row r="64" spans="1:41" collapsed="1" x14ac:dyDescent="0.25">
      <c r="B64" s="201"/>
      <c r="C64" s="225"/>
      <c r="D64" s="20"/>
      <c r="E64" s="20"/>
      <c r="F64" s="20"/>
      <c r="G64" s="20"/>
      <c r="H64" s="20"/>
      <c r="I64" s="20"/>
      <c r="J64" s="20"/>
      <c r="K64" s="20"/>
      <c r="L64" s="20"/>
      <c r="M64" s="20"/>
      <c r="N64" s="20"/>
      <c r="O64" s="20"/>
      <c r="P64" s="20"/>
      <c r="Q64" s="20"/>
      <c r="R64" s="20"/>
      <c r="S64" s="20"/>
      <c r="T64" s="20"/>
      <c r="U64" s="19"/>
      <c r="W64" s="201"/>
      <c r="X64" s="201"/>
      <c r="Y64" s="201"/>
      <c r="Z64" s="201"/>
      <c r="AA64" s="201"/>
      <c r="AB64" s="201"/>
      <c r="AC64" s="201"/>
      <c r="AD64" s="201"/>
      <c r="AE64" s="201"/>
      <c r="AF64" s="201"/>
      <c r="AG64" s="201"/>
      <c r="AH64" s="201"/>
      <c r="AI64" s="201"/>
      <c r="AJ64" s="201"/>
    </row>
    <row r="65" spans="1:36" hidden="1" outlineLevel="1" x14ac:dyDescent="0.25">
      <c r="A65" s="201"/>
      <c r="B65" s="201"/>
      <c r="C65" s="227"/>
      <c r="D65" s="228">
        <f>COLUMN()</f>
        <v>4</v>
      </c>
      <c r="E65" s="228">
        <f t="shared" ref="E65:N65" si="79">COLUMN()-$D$28+1</f>
        <v>2</v>
      </c>
      <c r="F65" s="228">
        <f t="shared" si="79"/>
        <v>3</v>
      </c>
      <c r="G65" s="228">
        <f t="shared" si="79"/>
        <v>4</v>
      </c>
      <c r="H65" s="228">
        <f t="shared" si="79"/>
        <v>5</v>
      </c>
      <c r="I65" s="228">
        <f t="shared" si="79"/>
        <v>6</v>
      </c>
      <c r="J65" s="228">
        <f t="shared" si="79"/>
        <v>7</v>
      </c>
      <c r="K65" s="228">
        <f t="shared" si="79"/>
        <v>8</v>
      </c>
      <c r="L65" s="228">
        <f t="shared" si="79"/>
        <v>9</v>
      </c>
      <c r="M65" s="228">
        <f t="shared" si="79"/>
        <v>10</v>
      </c>
      <c r="N65" s="228">
        <f t="shared" si="79"/>
        <v>11</v>
      </c>
      <c r="O65" s="201"/>
      <c r="P65" s="201"/>
      <c r="Q65" s="201"/>
      <c r="R65" s="228"/>
      <c r="S65" s="228"/>
      <c r="T65" s="228"/>
      <c r="U65" s="214"/>
      <c r="V65" s="201"/>
      <c r="W65" s="201"/>
      <c r="X65" s="201"/>
      <c r="Y65" s="201"/>
      <c r="Z65" s="201"/>
      <c r="AA65" s="201"/>
      <c r="AB65" s="201"/>
      <c r="AC65" s="201"/>
      <c r="AD65" s="201"/>
      <c r="AE65" s="201"/>
      <c r="AF65" s="201"/>
      <c r="AG65" s="201"/>
      <c r="AH65" s="201"/>
      <c r="AI65" s="201"/>
      <c r="AJ65" s="201"/>
    </row>
    <row r="66" spans="1:36" ht="22.5" hidden="1" outlineLevel="1" collapsed="1" x14ac:dyDescent="0.25">
      <c r="A66" s="201"/>
      <c r="B66" s="201"/>
      <c r="C66" s="260" t="str">
        <f>D79</f>
        <v>Timber frame</v>
      </c>
      <c r="D66" s="228"/>
      <c r="E66" s="202" t="s">
        <v>82</v>
      </c>
      <c r="F66" s="202" t="str">
        <f>'Material editor'!$F$9</f>
        <v>Manfacturing energy</v>
      </c>
      <c r="G66" s="202" t="s">
        <v>149</v>
      </c>
      <c r="H66" s="202" t="str">
        <f>'Material editor'!$H$9</f>
        <v>Service life</v>
      </c>
      <c r="I66" s="202" t="s">
        <v>671</v>
      </c>
      <c r="J66" s="202" t="s">
        <v>679</v>
      </c>
      <c r="K66" s="202" t="s">
        <v>776</v>
      </c>
      <c r="L66" s="202" t="s">
        <v>143</v>
      </c>
      <c r="M66" s="202" t="s">
        <v>149</v>
      </c>
      <c r="N66" s="202" t="str">
        <f>'Material editor'!$AE$9</f>
        <v>Comment PHI</v>
      </c>
      <c r="O66" s="228"/>
      <c r="P66" s="228"/>
      <c r="Q66" s="228"/>
      <c r="R66" s="228"/>
      <c r="S66" s="228"/>
      <c r="T66" s="228"/>
      <c r="U66" s="214"/>
      <c r="V66" s="201"/>
      <c r="W66" s="201"/>
      <c r="X66" s="201"/>
      <c r="Y66" s="201"/>
      <c r="Z66" s="201"/>
      <c r="AA66" s="201"/>
      <c r="AB66" s="201"/>
      <c r="AC66" s="201"/>
      <c r="AD66" s="201"/>
      <c r="AE66" s="201"/>
      <c r="AF66" s="201"/>
      <c r="AG66" s="201"/>
      <c r="AH66" s="201"/>
      <c r="AI66" s="201"/>
      <c r="AJ66" s="201"/>
    </row>
    <row r="67" spans="1:36" hidden="1" outlineLevel="2" x14ac:dyDescent="0.25">
      <c r="A67" s="201"/>
      <c r="B67" s="201"/>
      <c r="C67" s="227"/>
      <c r="D67" s="228"/>
      <c r="E67" s="228"/>
      <c r="F67" s="203" t="s">
        <v>144</v>
      </c>
      <c r="G67" s="203" t="s">
        <v>148</v>
      </c>
      <c r="H67" s="203" t="s">
        <v>146</v>
      </c>
      <c r="I67" s="203" t="s">
        <v>672</v>
      </c>
      <c r="J67" s="203" t="s">
        <v>344</v>
      </c>
      <c r="K67" s="203" t="s">
        <v>777</v>
      </c>
      <c r="L67" s="203" t="s">
        <v>730</v>
      </c>
      <c r="M67" s="203" t="s">
        <v>731</v>
      </c>
      <c r="N67" s="228"/>
      <c r="O67" s="228"/>
      <c r="P67" s="228"/>
      <c r="Q67" s="228"/>
      <c r="R67" s="228"/>
      <c r="S67" s="228"/>
      <c r="T67" s="228"/>
      <c r="U67" s="214"/>
      <c r="V67" s="201"/>
      <c r="W67" s="201"/>
      <c r="X67" s="201"/>
      <c r="Y67" s="201"/>
      <c r="Z67" s="201"/>
      <c r="AA67" s="201"/>
      <c r="AB67" s="201"/>
      <c r="AC67" s="201"/>
      <c r="AD67" s="201"/>
      <c r="AE67" s="201"/>
      <c r="AF67" s="201"/>
      <c r="AG67" s="201"/>
      <c r="AH67" s="201"/>
      <c r="AI67" s="201"/>
      <c r="AJ67" s="201"/>
    </row>
    <row r="68" spans="1:36" hidden="1" outlineLevel="2" x14ac:dyDescent="0.25">
      <c r="A68" s="201"/>
      <c r="B68" s="201"/>
      <c r="C68" s="227"/>
      <c r="D68" s="232" t="s">
        <v>674</v>
      </c>
      <c r="E68" s="204" t="s">
        <v>670</v>
      </c>
      <c r="F68" s="205">
        <f>IF(ISNUMBER(VLOOKUP(LEFT(E68,3),'Material editor'!$D$11:$H$110,'Material editor'!$F$8,0)),VLOOKUP(LEFT(E68,3),'Material editor'!$D$11:$H$110,'Material editor'!$F$8,0),"")</f>
        <v>1434.0932694222695</v>
      </c>
      <c r="G68" s="205">
        <f>IF(ISNUMBER(VLOOKUP(LEFT(E68,3),'Material editor'!$D$11:$H$110,'Material editor'!$G$8,0)),VLOOKUP(LEFT(E68,3),'Material editor'!$D$11:$H$110,'Material editor'!$G$8,0),"")</f>
        <v>-636.14449532812898</v>
      </c>
      <c r="H68" s="205">
        <f>IF(ISNUMBER(VLOOKUP(LEFT(E68,3),'Material editor'!$D$11:$H$110,'Material editor'!$H$8,0)),VLOOKUP(LEFT(E68,3),'Material editor'!$D$11:$H$110,'Material editor'!$H$8,0),"")</f>
        <v>40</v>
      </c>
      <c r="I68" s="94">
        <f>5000+5200</f>
        <v>10200</v>
      </c>
      <c r="J68" s="206"/>
      <c r="K68" s="206"/>
      <c r="L68" s="207">
        <f>F68*I68/(1000*1000)*Balance!$H$13/H68</f>
        <v>7.3138756740535742</v>
      </c>
      <c r="M68" s="207">
        <f>G68*I68/(1000*1000)*Balance!$H$13/H68</f>
        <v>-3.244336926173458</v>
      </c>
      <c r="N68" s="207" t="str">
        <f>IF(ISTEXT(VLOOKUP(LEFT(E68,3),'Material editor'!$D$11:$AE$110,'Material editor'!$AE$8,0)),VLOOKUP(LEFT(E68,3),'Material editor'!$D$11:$AE$110,'Material editor'!$AE$8,0),"")</f>
        <v/>
      </c>
      <c r="O68" s="228"/>
      <c r="P68" s="228"/>
      <c r="Q68" s="228"/>
      <c r="R68" s="228"/>
      <c r="S68" s="228"/>
      <c r="T68" s="228"/>
      <c r="U68" s="214"/>
      <c r="V68" s="201"/>
      <c r="W68" s="201"/>
      <c r="X68" s="201"/>
      <c r="Y68" s="201"/>
      <c r="Z68" s="201"/>
      <c r="AA68" s="201"/>
      <c r="AB68" s="201"/>
      <c r="AC68" s="201"/>
      <c r="AD68" s="201"/>
      <c r="AE68" s="201"/>
      <c r="AF68" s="201"/>
      <c r="AG68" s="201"/>
      <c r="AH68" s="201"/>
      <c r="AI68" s="201"/>
      <c r="AJ68" s="201"/>
    </row>
    <row r="69" spans="1:36" hidden="1" outlineLevel="2" x14ac:dyDescent="0.25">
      <c r="A69" s="201"/>
      <c r="B69" s="201"/>
      <c r="C69" s="227"/>
      <c r="D69" s="232" t="s">
        <v>682</v>
      </c>
      <c r="E69" s="204" t="s">
        <v>683</v>
      </c>
      <c r="F69" s="205">
        <f>IF(ISNUMBER(VLOOKUP(LEFT(E69,3),'Material editor'!$D$11:$H$110,'Material editor'!$F$8,0)),VLOOKUP(LEFT(E69,3),'Material editor'!$D$11:$H$110,'Material editor'!$F$8,0),"")</f>
        <v>8577.8982058033398</v>
      </c>
      <c r="G69" s="205">
        <f>IF(ISNUMBER(VLOOKUP(LEFT(E69,3),'Material editor'!$D$11:$H$110,'Material editor'!$G$8,0)),VLOOKUP(LEFT(E69,3),'Material editor'!$D$11:$H$110,'Material editor'!$G$8,0),"")</f>
        <v>1740.6610483823918</v>
      </c>
      <c r="H69" s="205">
        <f>IF(ISNUMBER(VLOOKUP(LEFT(E69,3),'Material editor'!$D$11:$H$110,'Material editor'!$H$8,0)),VLOOKUP(LEFT(E69,3),'Material editor'!$D$11:$H$110,'Material editor'!$H$8,0),"")</f>
        <v>20</v>
      </c>
      <c r="I69" s="94">
        <v>200</v>
      </c>
      <c r="J69" s="206"/>
      <c r="K69" s="206"/>
      <c r="L69" s="207">
        <f>F69*I69/(1000*1000)*Balance!$H$13/H69</f>
        <v>1.7155796411606681</v>
      </c>
      <c r="M69" s="207">
        <f>G69*I69/(1000*1000)*Balance!$H$13/H69</f>
        <v>0.34813220967647834</v>
      </c>
      <c r="N69" s="207" t="str">
        <f>IF(ISTEXT(VLOOKUP(LEFT(E69,3),'Material editor'!$D$11:$AE$110,'Material editor'!$AE$8,0)),VLOOKUP(LEFT(E69,3),'Material editor'!$D$11:$AE$110,'Material editor'!$AE$8,0),"")</f>
        <v/>
      </c>
      <c r="O69" s="228"/>
      <c r="P69" s="228"/>
      <c r="Q69" s="228"/>
      <c r="R69" s="228"/>
      <c r="S69" s="228"/>
      <c r="T69" s="228"/>
      <c r="U69" s="214"/>
      <c r="V69" s="201"/>
      <c r="W69" s="201"/>
      <c r="X69" s="201"/>
      <c r="Y69" s="201"/>
      <c r="Z69" s="201"/>
      <c r="AA69" s="201"/>
      <c r="AB69" s="201"/>
      <c r="AC69" s="201"/>
      <c r="AD69" s="201"/>
      <c r="AE69" s="201"/>
      <c r="AF69" s="201"/>
      <c r="AG69" s="201"/>
      <c r="AH69" s="201"/>
      <c r="AI69" s="201"/>
      <c r="AJ69" s="201"/>
    </row>
    <row r="70" spans="1:36" hidden="1" outlineLevel="2" x14ac:dyDescent="0.25">
      <c r="A70" s="201"/>
      <c r="B70" s="201"/>
      <c r="C70" s="227"/>
      <c r="D70" s="232" t="s">
        <v>676</v>
      </c>
      <c r="E70" s="204" t="s">
        <v>695</v>
      </c>
      <c r="F70" s="205">
        <f>IF(ISNUMBER(VLOOKUP(LEFT(E70,3),'Material editor'!$D$11:$H$110,'Material editor'!$F$8,0)),VLOOKUP(LEFT(E70,3),'Material editor'!$D$11:$H$110,'Material editor'!$F$8,0),"")</f>
        <v>466.17168646647775</v>
      </c>
      <c r="G70" s="205">
        <f>IF(ISNUMBER(VLOOKUP(LEFT(E70,3),'Material editor'!$D$11:$H$110,'Material editor'!$G$8,0)),VLOOKUP(LEFT(E70,3),'Material editor'!$D$11:$H$110,'Material editor'!$G$8,0),"")</f>
        <v>277.61449206973299</v>
      </c>
      <c r="H70" s="205">
        <f>IF(ISNUMBER(VLOOKUP(LEFT(E70,3),'Material editor'!$D$11:$H$110,'Material editor'!$H$8,0)),VLOOKUP(LEFT(E70,3),'Material editor'!$D$11:$H$110,'Material editor'!$H$8,0),"")</f>
        <v>40</v>
      </c>
      <c r="I70" s="94">
        <v>35</v>
      </c>
      <c r="J70" s="206"/>
      <c r="K70" s="206"/>
      <c r="L70" s="207">
        <f>F70*I70/(1000*1000)*Balance!$H$13/H70</f>
        <v>8.1580045131633607E-3</v>
      </c>
      <c r="M70" s="207">
        <f>G70*I70/(1000*1000)*Balance!$H$13/H70</f>
        <v>4.8582536112203268E-3</v>
      </c>
      <c r="N70" s="207" t="str">
        <f>IF(ISTEXT(VLOOKUP(LEFT(E70,3),'Material editor'!$D$11:$AE$110,'Material editor'!$AE$8,0)),VLOOKUP(LEFT(E70,3),'Material editor'!$D$11:$AE$110,'Material editor'!$AE$8,0),"")</f>
        <v/>
      </c>
      <c r="O70" s="228"/>
      <c r="P70" s="228"/>
      <c r="Q70" s="228"/>
      <c r="R70" s="228"/>
      <c r="S70" s="228"/>
      <c r="T70" s="228"/>
      <c r="U70" s="214"/>
      <c r="V70" s="201"/>
      <c r="W70" s="201"/>
      <c r="X70" s="201"/>
      <c r="Y70" s="201"/>
      <c r="Z70" s="201"/>
      <c r="AA70" s="201"/>
      <c r="AB70" s="201"/>
      <c r="AC70" s="201"/>
      <c r="AD70" s="201"/>
      <c r="AE70" s="201"/>
      <c r="AF70" s="201"/>
      <c r="AG70" s="201"/>
      <c r="AH70" s="201"/>
      <c r="AI70" s="201"/>
      <c r="AJ70" s="201"/>
    </row>
    <row r="71" spans="1:36" hidden="1" outlineLevel="2" x14ac:dyDescent="0.25">
      <c r="A71" s="201"/>
      <c r="B71" s="201"/>
      <c r="C71" s="227"/>
      <c r="D71" s="232" t="s">
        <v>677</v>
      </c>
      <c r="E71" s="204" t="s">
        <v>1044</v>
      </c>
      <c r="F71" s="205">
        <f>IF(ISNUMBER(VLOOKUP(LEFT(E71,3),'Material editor'!$D$11:$H$110,'Material editor'!$F$8,0)),VLOOKUP(LEFT(E71,3),'Material editor'!$D$11:$H$110,'Material editor'!$F$8,0),"")</f>
        <v>56758.989170428904</v>
      </c>
      <c r="G71" s="205">
        <f>IF(ISNUMBER(VLOOKUP(LEFT(E71,3),'Material editor'!$D$11:$H$110,'Material editor'!$G$8,0)),VLOOKUP(LEFT(E71,3),'Material editor'!$D$11:$H$110,'Material editor'!$G$8,0),"")</f>
        <v>10071.17420653871</v>
      </c>
      <c r="H71" s="205">
        <f>IF(ISNUMBER(VLOOKUP(LEFT(E71,3),'Material editor'!$D$11:$H$110,'Material editor'!$H$8,0)),VLOOKUP(LEFT(E71,3),'Material editor'!$D$11:$H$110,'Material editor'!$H$8,0),"")</f>
        <v>40</v>
      </c>
      <c r="I71" s="94">
        <f>2*15</f>
        <v>30</v>
      </c>
      <c r="J71" s="206"/>
      <c r="K71" s="206"/>
      <c r="L71" s="207">
        <f>F71*I71/(1000*1000)*Balance!$H$13/H71</f>
        <v>0.85138483755643346</v>
      </c>
      <c r="M71" s="207">
        <f>G71*I71/(1000*1000)*Balance!$H$13/H71</f>
        <v>0.15106761309808064</v>
      </c>
      <c r="N71" s="207" t="str">
        <f>IF(ISTEXT(VLOOKUP(LEFT(E71,3),'Material editor'!$D$11:$AE$110,'Material editor'!$AE$8,0)),VLOOKUP(LEFT(E71,3),'Material editor'!$D$11:$AE$110,'Material editor'!$AE$8,0),"")</f>
        <v/>
      </c>
      <c r="O71" s="228"/>
      <c r="P71" s="228"/>
      <c r="Q71" s="228"/>
      <c r="R71" s="228"/>
      <c r="S71" s="228"/>
      <c r="T71" s="228"/>
      <c r="U71" s="214"/>
      <c r="V71" s="201"/>
      <c r="W71" s="201"/>
      <c r="X71" s="201"/>
      <c r="Y71" s="201"/>
      <c r="Z71" s="201"/>
      <c r="AA71" s="201"/>
      <c r="AB71" s="201"/>
      <c r="AC71" s="201"/>
      <c r="AD71" s="201"/>
      <c r="AE71" s="201"/>
      <c r="AF71" s="201"/>
      <c r="AG71" s="201"/>
      <c r="AH71" s="201"/>
      <c r="AI71" s="201"/>
      <c r="AJ71" s="201"/>
    </row>
    <row r="72" spans="1:36" hidden="1" outlineLevel="2" x14ac:dyDescent="0.25">
      <c r="A72" s="201"/>
      <c r="B72" s="201"/>
      <c r="C72" s="227"/>
      <c r="D72" s="232" t="s">
        <v>678</v>
      </c>
      <c r="E72" s="204" t="s">
        <v>1045</v>
      </c>
      <c r="F72" s="205">
        <f>IF(ISNUMBER(VLOOKUP(LEFT(E72,3),'Material editor'!$D$11:$H$110,'Material editor'!$F$8,0)),VLOOKUP(LEFT(E72,3),'Material editor'!$D$11:$H$110,'Material editor'!$F$8,0),"")</f>
        <v>31554.72432133375</v>
      </c>
      <c r="G72" s="205">
        <f>IF(ISNUMBER(VLOOKUP(LEFT(E72,3),'Material editor'!$D$11:$H$110,'Material editor'!$G$8,0)),VLOOKUP(LEFT(E72,3),'Material editor'!$D$11:$H$110,'Material editor'!$G$8,0),"")</f>
        <v>7570.5013256411439</v>
      </c>
      <c r="H72" s="205">
        <f>IF(ISNUMBER(VLOOKUP(LEFT(E72,3),'Material editor'!$D$11:$H$110,'Material editor'!$H$8,0)),VLOOKUP(LEFT(E72,3),'Material editor'!$D$11:$H$110,'Material editor'!$H$8,0),"")</f>
        <v>40</v>
      </c>
      <c r="I72" s="94">
        <v>50</v>
      </c>
      <c r="J72" s="206"/>
      <c r="K72" s="206"/>
      <c r="L72" s="207">
        <f>F72*I72/(1000*1000)*Balance!$H$13/H72</f>
        <v>0.78886810803334373</v>
      </c>
      <c r="M72" s="207">
        <f>G72*I72/(1000*1000)*Balance!$H$13/H72</f>
        <v>0.18926253314102859</v>
      </c>
      <c r="N72" s="207" t="str">
        <f>IF(ISTEXT(VLOOKUP(LEFT(E72,3),'Material editor'!$D$11:$AE$110,'Material editor'!$AE$8,0)),VLOOKUP(LEFT(E72,3),'Material editor'!$D$11:$AE$110,'Material editor'!$AE$8,0),"")</f>
        <v/>
      </c>
      <c r="O72" s="228"/>
      <c r="P72" s="228"/>
      <c r="Q72" s="228"/>
      <c r="R72" s="228"/>
      <c r="S72" s="228"/>
      <c r="T72" s="228"/>
      <c r="U72" s="214"/>
      <c r="V72" s="201"/>
      <c r="W72" s="201"/>
      <c r="X72" s="201"/>
      <c r="Y72" s="201"/>
      <c r="Z72" s="201"/>
      <c r="AA72" s="201"/>
      <c r="AB72" s="201"/>
      <c r="AC72" s="201"/>
      <c r="AD72" s="201"/>
      <c r="AE72" s="201"/>
      <c r="AF72" s="201"/>
      <c r="AG72" s="201"/>
      <c r="AH72" s="201"/>
      <c r="AI72" s="201"/>
      <c r="AJ72" s="201"/>
    </row>
    <row r="73" spans="1:36" hidden="1" outlineLevel="2" x14ac:dyDescent="0.25">
      <c r="A73" s="201"/>
      <c r="B73" s="201"/>
      <c r="C73" s="227"/>
      <c r="D73" s="232" t="s">
        <v>727</v>
      </c>
      <c r="E73" s="204" t="s">
        <v>1041</v>
      </c>
      <c r="F73" s="205">
        <f>IF(ISNUMBER(VLOOKUP(LEFT(E73,3),'Material editor'!$D$11:$H$110,'Material editor'!$F$8,0)),VLOOKUP(LEFT(E73,3),'Material editor'!$D$11:$H$110,'Material editor'!$F$8,0),"")</f>
        <v>12876.183614626107</v>
      </c>
      <c r="G73" s="205">
        <f>IF(ISNUMBER(VLOOKUP(LEFT(E73,3),'Material editor'!$D$11:$H$110,'Material editor'!$G$8,0)),VLOOKUP(LEFT(E73,3),'Material editor'!$D$11:$H$110,'Material editor'!$G$8,0),"")</f>
        <v>2121.6494532607658</v>
      </c>
      <c r="H73" s="205">
        <f>IF(ISNUMBER(VLOOKUP(LEFT(E73,3),'Material editor'!$D$11:$H$110,'Material editor'!$H$8,0)),VLOOKUP(LEFT(E73,3),'Material editor'!$D$11:$H$110,'Material editor'!$H$8,0),"")</f>
        <v>40</v>
      </c>
      <c r="I73" s="206"/>
      <c r="J73" s="94">
        <f>434+340</f>
        <v>774</v>
      </c>
      <c r="K73" s="79">
        <v>0.15</v>
      </c>
      <c r="L73" s="207">
        <f>(F73*J73/1000*K73/1000)*Balance!$H$13/H73</f>
        <v>0.74746245882904538</v>
      </c>
      <c r="M73" s="207">
        <f>G73*J73/(1000*1000)*Balance!$H$13/H73</f>
        <v>0.82107833841191646</v>
      </c>
      <c r="N73" s="207" t="str">
        <f>IF(ISTEXT(VLOOKUP(LEFT(E73,3),'Material editor'!$D$11:$AE$110,'Material editor'!$AE$8,0)),VLOOKUP(LEFT(E73,3),'Material editor'!$D$11:$AE$110,'Material editor'!$AE$8,0),"")</f>
        <v/>
      </c>
      <c r="O73" s="228"/>
      <c r="P73" s="228"/>
      <c r="Q73" s="228"/>
      <c r="R73" s="228"/>
      <c r="S73" s="228"/>
      <c r="T73" s="228"/>
      <c r="U73" s="214"/>
      <c r="V73" s="201"/>
      <c r="W73" s="201"/>
      <c r="X73" s="201"/>
      <c r="Y73" s="201"/>
      <c r="Z73" s="201"/>
      <c r="AA73" s="201"/>
      <c r="AB73" s="201"/>
      <c r="AC73" s="201"/>
      <c r="AD73" s="201"/>
      <c r="AE73" s="201"/>
      <c r="AF73" s="201"/>
      <c r="AG73" s="201"/>
      <c r="AH73" s="201"/>
      <c r="AI73" s="201"/>
      <c r="AJ73" s="201"/>
    </row>
    <row r="74" spans="1:36" hidden="1" outlineLevel="2" x14ac:dyDescent="0.25">
      <c r="A74" s="201"/>
      <c r="B74" s="201"/>
      <c r="C74" s="227"/>
      <c r="D74" s="232" t="s">
        <v>728</v>
      </c>
      <c r="E74" s="204" t="s">
        <v>1042</v>
      </c>
      <c r="F74" s="205">
        <f>IF(ISNUMBER(VLOOKUP(LEFT(E74,3),'Material editor'!$D$11:$H$110,'Material editor'!$F$8,0)),VLOOKUP(LEFT(E74,3),'Material editor'!$D$11:$H$110,'Material editor'!$F$8,0),"")</f>
        <v>13437.299176949344</v>
      </c>
      <c r="G74" s="205">
        <f>IF(ISNUMBER(VLOOKUP(LEFT(E74,3),'Material editor'!$D$11:$H$110,'Material editor'!$G$8,0)),VLOOKUP(LEFT(E74,3),'Material editor'!$D$11:$H$110,'Material editor'!$G$8,0),"")</f>
        <v>2087.9914411917075</v>
      </c>
      <c r="H74" s="205">
        <f>IF(ISNUMBER(VLOOKUP(LEFT(E74,3),'Material editor'!$D$11:$H$110,'Material editor'!$H$8,0)),VLOOKUP(LEFT(E74,3),'Material editor'!$D$11:$H$110,'Material editor'!$H$8,0),"")</f>
        <v>40</v>
      </c>
      <c r="I74" s="206"/>
      <c r="J74" s="94">
        <f>J73</f>
        <v>774</v>
      </c>
      <c r="K74" s="79">
        <v>0.15</v>
      </c>
      <c r="L74" s="207">
        <f>(F74*J74/1000*K74/1000)*Balance!$H$13/H74</f>
        <v>0.78003521722190927</v>
      </c>
      <c r="M74" s="207">
        <f>G74*J74/(1000*1000)*Balance!$H$13/H74</f>
        <v>0.80805268774119077</v>
      </c>
      <c r="N74" s="207"/>
      <c r="O74" s="228"/>
      <c r="P74" s="228"/>
      <c r="Q74" s="228"/>
      <c r="R74" s="228"/>
      <c r="S74" s="228"/>
      <c r="T74" s="228"/>
      <c r="U74" s="214"/>
      <c r="V74" s="201"/>
      <c r="W74" s="201"/>
      <c r="X74" s="201"/>
      <c r="Y74" s="201"/>
      <c r="Z74" s="201"/>
      <c r="AA74" s="201"/>
      <c r="AB74" s="201"/>
      <c r="AC74" s="201"/>
      <c r="AD74" s="201"/>
      <c r="AE74" s="201"/>
      <c r="AF74" s="201"/>
      <c r="AG74" s="201"/>
      <c r="AH74" s="201"/>
      <c r="AI74" s="201"/>
      <c r="AJ74" s="201"/>
    </row>
    <row r="75" spans="1:36" hidden="1" outlineLevel="2" x14ac:dyDescent="0.25">
      <c r="A75" s="201"/>
      <c r="B75" s="201"/>
      <c r="C75" s="227"/>
      <c r="D75" s="232" t="s">
        <v>729</v>
      </c>
      <c r="E75" s="204" t="s">
        <v>1043</v>
      </c>
      <c r="F75" s="205">
        <f>IF(ISNUMBER(VLOOKUP(LEFT(E75,3),'Material editor'!$D$11:$H$110,'Material editor'!$F$8,0)),VLOOKUP(LEFT(E75,3),'Material editor'!$D$11:$H$110,'Material editor'!$F$8,0),"")</f>
        <v>12876.183614626107</v>
      </c>
      <c r="G75" s="205">
        <f>IF(ISNUMBER(VLOOKUP(LEFT(E75,3),'Material editor'!$D$11:$H$110,'Material editor'!$G$8,0)),VLOOKUP(LEFT(E75,3),'Material editor'!$D$11:$H$110,'Material editor'!$G$8,0),"")</f>
        <v>2121.6494532607658</v>
      </c>
      <c r="H75" s="205">
        <f>IF(ISNUMBER(VLOOKUP(LEFT(E75,3),'Material editor'!$D$11:$H$110,'Material editor'!$H$8,0)),VLOOKUP(LEFT(E75,3),'Material editor'!$D$11:$H$110,'Material editor'!$H$8,0),"")</f>
        <v>10</v>
      </c>
      <c r="I75" s="206"/>
      <c r="J75" s="94">
        <f>J74</f>
        <v>774</v>
      </c>
      <c r="K75" s="79">
        <v>0.15</v>
      </c>
      <c r="L75" s="207">
        <f>(F75*J75/1000*K75/1000)*Balance!$H$13/H75</f>
        <v>2.9898498353161815</v>
      </c>
      <c r="M75" s="207">
        <f>G75*J75/(1000*1000)*Balance!$H$13/H75</f>
        <v>3.2843133536476659</v>
      </c>
      <c r="N75" s="207"/>
      <c r="O75" s="228"/>
      <c r="P75" s="228"/>
      <c r="Q75" s="228"/>
      <c r="R75" s="228"/>
      <c r="S75" s="228"/>
      <c r="T75" s="228"/>
      <c r="U75" s="214"/>
      <c r="V75" s="201"/>
      <c r="W75" s="201"/>
      <c r="X75" s="201"/>
      <c r="Y75" s="201"/>
      <c r="Z75" s="201"/>
      <c r="AA75" s="201"/>
      <c r="AB75" s="201"/>
      <c r="AC75" s="201"/>
      <c r="AD75" s="201"/>
      <c r="AE75" s="201"/>
      <c r="AF75" s="201"/>
      <c r="AG75" s="201"/>
      <c r="AH75" s="201"/>
      <c r="AI75" s="201"/>
      <c r="AJ75" s="201"/>
    </row>
    <row r="76" spans="1:36" hidden="1" outlineLevel="2" x14ac:dyDescent="0.25">
      <c r="A76" s="201"/>
      <c r="B76" s="201"/>
      <c r="C76" s="227"/>
      <c r="D76" s="208"/>
      <c r="E76" s="204"/>
      <c r="F76" s="205"/>
      <c r="G76" s="205"/>
      <c r="H76" s="205"/>
      <c r="I76" s="206"/>
      <c r="J76" s="206"/>
      <c r="K76" s="206"/>
      <c r="L76" s="207"/>
      <c r="M76" s="207"/>
      <c r="N76" s="207"/>
      <c r="O76" s="228"/>
      <c r="P76" s="228"/>
      <c r="Q76" s="228"/>
      <c r="R76" s="228"/>
      <c r="S76" s="228"/>
      <c r="T76" s="228"/>
      <c r="U76" s="214"/>
      <c r="V76" s="201"/>
      <c r="W76" s="201"/>
      <c r="X76" s="201"/>
      <c r="Y76" s="201"/>
      <c r="Z76" s="201"/>
      <c r="AA76" s="201"/>
      <c r="AB76" s="201"/>
      <c r="AC76" s="201"/>
      <c r="AD76" s="201"/>
      <c r="AE76" s="201"/>
      <c r="AF76" s="201"/>
      <c r="AG76" s="201"/>
      <c r="AH76" s="201"/>
      <c r="AI76" s="201"/>
      <c r="AJ76" s="201"/>
    </row>
    <row r="77" spans="1:36" hidden="1" outlineLevel="2" x14ac:dyDescent="0.25">
      <c r="A77" s="201"/>
      <c r="B77" s="201"/>
      <c r="C77" s="227"/>
      <c r="D77" s="208"/>
      <c r="E77" s="204"/>
      <c r="F77" s="205"/>
      <c r="G77" s="205"/>
      <c r="H77" s="205"/>
      <c r="I77" s="206"/>
      <c r="J77" s="206"/>
      <c r="K77" s="206"/>
      <c r="L77" s="207"/>
      <c r="M77" s="207"/>
      <c r="N77" s="207"/>
      <c r="O77" s="228"/>
      <c r="P77" s="228"/>
      <c r="Q77" s="228"/>
      <c r="R77" s="228"/>
      <c r="S77" s="228"/>
      <c r="T77" s="228"/>
      <c r="U77" s="214"/>
      <c r="V77" s="201"/>
      <c r="W77" s="201"/>
      <c r="X77" s="201"/>
      <c r="Y77" s="201"/>
      <c r="Z77" s="201"/>
      <c r="AA77" s="201"/>
      <c r="AB77" s="201"/>
      <c r="AC77" s="201"/>
      <c r="AD77" s="201"/>
      <c r="AE77" s="201"/>
      <c r="AF77" s="201"/>
      <c r="AG77" s="201"/>
      <c r="AH77" s="201"/>
      <c r="AI77" s="201"/>
      <c r="AJ77" s="201"/>
    </row>
    <row r="78" spans="1:36" hidden="1" outlineLevel="2" x14ac:dyDescent="0.25">
      <c r="A78" s="201"/>
      <c r="B78" s="201"/>
      <c r="C78" s="227"/>
      <c r="D78" s="233"/>
      <c r="E78" s="234"/>
      <c r="F78" s="235" t="s">
        <v>732</v>
      </c>
      <c r="G78" s="235" t="s">
        <v>733</v>
      </c>
      <c r="H78" s="235" t="s">
        <v>734</v>
      </c>
      <c r="I78" s="235"/>
      <c r="J78" s="235" t="s">
        <v>778</v>
      </c>
      <c r="K78" s="235"/>
      <c r="L78" s="203" t="s">
        <v>730</v>
      </c>
      <c r="M78" s="203" t="s">
        <v>731</v>
      </c>
      <c r="N78" s="236"/>
      <c r="O78" s="201"/>
      <c r="P78" s="201"/>
      <c r="Q78" s="201"/>
      <c r="R78" s="228"/>
      <c r="S78" s="228"/>
      <c r="T78" s="228"/>
      <c r="U78" s="214"/>
      <c r="V78" s="201"/>
      <c r="W78" s="201"/>
      <c r="X78" s="201"/>
      <c r="Y78" s="201"/>
      <c r="Z78" s="201"/>
      <c r="AA78" s="201"/>
      <c r="AB78" s="201"/>
      <c r="AC78" s="201"/>
      <c r="AD78" s="201"/>
      <c r="AE78" s="201"/>
      <c r="AF78" s="201"/>
      <c r="AG78" s="201"/>
      <c r="AH78" s="201"/>
      <c r="AI78" s="201"/>
      <c r="AJ78" s="201"/>
    </row>
    <row r="79" spans="1:36" hidden="1" outlineLevel="2" x14ac:dyDescent="0.25">
      <c r="A79" s="201"/>
      <c r="B79" s="201"/>
      <c r="C79" s="227"/>
      <c r="D79" s="213" t="s">
        <v>669</v>
      </c>
      <c r="E79" s="133" t="s">
        <v>736</v>
      </c>
      <c r="F79" s="79">
        <v>0.99</v>
      </c>
      <c r="G79" s="93">
        <v>3.5000000000000003E-2</v>
      </c>
      <c r="H79" s="93">
        <v>0.12</v>
      </c>
      <c r="I79" s="201"/>
      <c r="J79" s="79">
        <v>1.5</v>
      </c>
      <c r="K79" s="228"/>
      <c r="L79" s="237">
        <f>IF(ISNUMBER(J79),J79*SUM(L68:L77),SUM(L68:L77))</f>
        <v>22.792820665026479</v>
      </c>
      <c r="M79" s="237">
        <f>IF(ISNUMBER(J79),J79*SUM(M68:M77),SUM(M68:M77))</f>
        <v>3.5436420947311849</v>
      </c>
      <c r="N79" s="133"/>
      <c r="O79" s="201"/>
      <c r="P79" s="201"/>
      <c r="Q79" s="201"/>
      <c r="R79" s="228"/>
      <c r="S79" s="228"/>
      <c r="T79" s="228"/>
      <c r="U79" s="214"/>
      <c r="V79" s="201"/>
      <c r="W79" s="201"/>
      <c r="X79" s="201"/>
      <c r="Y79" s="201"/>
      <c r="Z79" s="201"/>
      <c r="AA79" s="201"/>
      <c r="AB79" s="201"/>
      <c r="AC79" s="201"/>
      <c r="AD79" s="201"/>
      <c r="AE79" s="201"/>
      <c r="AF79" s="201"/>
      <c r="AG79" s="201"/>
      <c r="AH79" s="201"/>
      <c r="AI79" s="201"/>
      <c r="AJ79" s="201"/>
    </row>
    <row r="80" spans="1:36" hidden="1" outlineLevel="2" x14ac:dyDescent="0.25">
      <c r="B80" s="201"/>
      <c r="C80" s="18"/>
      <c r="D80" s="20"/>
      <c r="E80" s="20"/>
      <c r="F80" s="20"/>
      <c r="G80" s="20"/>
      <c r="H80" s="20"/>
      <c r="I80" s="20"/>
      <c r="J80" s="20"/>
      <c r="K80" s="20"/>
      <c r="L80" s="20"/>
      <c r="M80" s="20"/>
      <c r="N80" s="20"/>
      <c r="O80" s="20"/>
      <c r="P80" s="20"/>
      <c r="Q80" s="20"/>
      <c r="R80" s="20"/>
      <c r="S80" s="20"/>
      <c r="T80" s="20"/>
      <c r="U80" s="19"/>
    </row>
    <row r="81" spans="1:36" hidden="1" outlineLevel="2" x14ac:dyDescent="0.25">
      <c r="A81" s="201"/>
      <c r="B81" s="201"/>
      <c r="C81" s="227"/>
      <c r="D81" s="228">
        <f>COLUMN()</f>
        <v>4</v>
      </c>
      <c r="E81" s="228">
        <f t="shared" ref="E81:N81" si="80">COLUMN()-$D$28+1</f>
        <v>2</v>
      </c>
      <c r="F81" s="228">
        <f t="shared" si="80"/>
        <v>3</v>
      </c>
      <c r="G81" s="228">
        <f t="shared" si="80"/>
        <v>4</v>
      </c>
      <c r="H81" s="228">
        <f t="shared" si="80"/>
        <v>5</v>
      </c>
      <c r="I81" s="228">
        <f t="shared" si="80"/>
        <v>6</v>
      </c>
      <c r="J81" s="228">
        <f t="shared" si="80"/>
        <v>7</v>
      </c>
      <c r="K81" s="228">
        <f t="shared" si="80"/>
        <v>8</v>
      </c>
      <c r="L81" s="228">
        <f t="shared" si="80"/>
        <v>9</v>
      </c>
      <c r="M81" s="228">
        <f t="shared" si="80"/>
        <v>10</v>
      </c>
      <c r="N81" s="228">
        <f t="shared" si="80"/>
        <v>11</v>
      </c>
      <c r="O81" s="201"/>
      <c r="P81" s="201"/>
      <c r="Q81" s="201"/>
      <c r="R81" s="228"/>
      <c r="S81" s="228"/>
      <c r="T81" s="228"/>
      <c r="U81" s="214"/>
      <c r="V81" s="201"/>
      <c r="W81" s="201"/>
      <c r="X81" s="201"/>
      <c r="Y81" s="201"/>
      <c r="Z81" s="201"/>
      <c r="AA81" s="201"/>
      <c r="AB81" s="201"/>
      <c r="AC81" s="201"/>
      <c r="AD81" s="201"/>
      <c r="AE81" s="201"/>
      <c r="AF81" s="201"/>
      <c r="AG81" s="201"/>
      <c r="AH81" s="201"/>
      <c r="AI81" s="201"/>
      <c r="AJ81" s="201"/>
    </row>
    <row r="82" spans="1:36" ht="22.5" hidden="1" outlineLevel="1" collapsed="1" x14ac:dyDescent="0.25">
      <c r="A82" s="201"/>
      <c r="B82" s="201"/>
      <c r="C82" s="260" t="str">
        <f>D95</f>
        <v>PH Timber frame with PU insulation</v>
      </c>
      <c r="D82" s="228"/>
      <c r="E82" s="202" t="s">
        <v>82</v>
      </c>
      <c r="F82" s="202" t="str">
        <f>'Material editor'!$F$9</f>
        <v>Manfacturing energy</v>
      </c>
      <c r="G82" s="202" t="s">
        <v>149</v>
      </c>
      <c r="H82" s="202" t="str">
        <f>'Material editor'!$H$9</f>
        <v>Service life</v>
      </c>
      <c r="I82" s="202" t="s">
        <v>671</v>
      </c>
      <c r="J82" s="202" t="s">
        <v>679</v>
      </c>
      <c r="K82" s="202" t="s">
        <v>776</v>
      </c>
      <c r="L82" s="202" t="s">
        <v>143</v>
      </c>
      <c r="M82" s="202" t="s">
        <v>149</v>
      </c>
      <c r="N82" s="202" t="str">
        <f>'Material editor'!$AE$9</f>
        <v>Comment PHI</v>
      </c>
      <c r="O82" s="201"/>
      <c r="P82" s="201"/>
      <c r="Q82" s="201"/>
      <c r="R82" s="228"/>
      <c r="S82" s="228"/>
      <c r="T82" s="228"/>
      <c r="U82" s="214"/>
      <c r="V82" s="201"/>
      <c r="W82" s="201"/>
      <c r="X82" s="201"/>
      <c r="Y82" s="201"/>
      <c r="Z82" s="201"/>
      <c r="AA82" s="201"/>
      <c r="AB82" s="201"/>
      <c r="AC82" s="201"/>
      <c r="AD82" s="201"/>
      <c r="AE82" s="201"/>
      <c r="AF82" s="201"/>
      <c r="AG82" s="201"/>
      <c r="AH82" s="201"/>
      <c r="AI82" s="201"/>
      <c r="AJ82" s="201"/>
    </row>
    <row r="83" spans="1:36" hidden="1" outlineLevel="2" x14ac:dyDescent="0.25">
      <c r="A83" s="201"/>
      <c r="B83" s="201"/>
      <c r="C83" s="227"/>
      <c r="D83" s="228"/>
      <c r="E83" s="228"/>
      <c r="F83" s="203" t="s">
        <v>144</v>
      </c>
      <c r="G83" s="203" t="s">
        <v>148</v>
      </c>
      <c r="H83" s="203" t="s">
        <v>146</v>
      </c>
      <c r="I83" s="203" t="s">
        <v>672</v>
      </c>
      <c r="J83" s="203" t="s">
        <v>344</v>
      </c>
      <c r="K83" s="203" t="s">
        <v>777</v>
      </c>
      <c r="L83" s="203" t="s">
        <v>730</v>
      </c>
      <c r="M83" s="203" t="s">
        <v>731</v>
      </c>
      <c r="N83" s="228"/>
      <c r="O83" s="201"/>
      <c r="P83" s="201"/>
      <c r="Q83" s="201"/>
      <c r="R83" s="228"/>
      <c r="S83" s="228"/>
      <c r="T83" s="228"/>
      <c r="U83" s="214"/>
      <c r="V83" s="201"/>
      <c r="W83" s="201"/>
      <c r="X83" s="201"/>
      <c r="Y83" s="201"/>
      <c r="Z83" s="201"/>
      <c r="AA83" s="201"/>
      <c r="AB83" s="201"/>
      <c r="AC83" s="201"/>
      <c r="AD83" s="201"/>
      <c r="AE83" s="201"/>
      <c r="AF83" s="201"/>
      <c r="AG83" s="201"/>
      <c r="AH83" s="201"/>
      <c r="AI83" s="201"/>
      <c r="AJ83" s="201"/>
    </row>
    <row r="84" spans="1:36" hidden="1" outlineLevel="2" x14ac:dyDescent="0.25">
      <c r="A84" s="201"/>
      <c r="B84" s="201"/>
      <c r="C84" s="227"/>
      <c r="D84" s="232" t="s">
        <v>674</v>
      </c>
      <c r="E84" s="204" t="s">
        <v>670</v>
      </c>
      <c r="F84" s="205">
        <f>IF(ISNUMBER(VLOOKUP(LEFT(E84,3),'Material editor'!$D$11:$H$110,'Material editor'!$F$8,0)),VLOOKUP(LEFT(E84,3),'Material editor'!$D$11:$H$110,'Material editor'!$F$8,0),"")</f>
        <v>1434.0932694222695</v>
      </c>
      <c r="G84" s="205">
        <f>IF(ISNUMBER(VLOOKUP(LEFT(E84,3),'Material editor'!$D$11:$H$110,'Material editor'!$G$8,0)),VLOOKUP(LEFT(E84,3),'Material editor'!$D$11:$H$110,'Material editor'!$G$8,0),"")</f>
        <v>-636.14449532812898</v>
      </c>
      <c r="H84" s="205">
        <f>IF(ISNUMBER(VLOOKUP(LEFT(E84,3),'Material editor'!$D$11:$H$110,'Material editor'!$H$8,0)),VLOOKUP(LEFT(E84,3),'Material editor'!$D$11:$H$110,'Material editor'!$H$8,0),"")</f>
        <v>40</v>
      </c>
      <c r="I84" s="94">
        <f>1465+1575+1620+800</f>
        <v>5460</v>
      </c>
      <c r="J84" s="206"/>
      <c r="K84" s="206"/>
      <c r="L84" s="207">
        <f>F84*I84/(1000*1000)*Balance!$H$13/H84</f>
        <v>3.9150746255227959</v>
      </c>
      <c r="M84" s="207">
        <f>G84*I84/(1000*1000)*Balance!$H$13/H84</f>
        <v>-1.7366744722457921</v>
      </c>
      <c r="N84" s="207" t="str">
        <f>IF(ISTEXT(VLOOKUP(LEFT(E84,3),'Material editor'!$D$11:$AE$110,'Material editor'!$AE$8,0)),VLOOKUP(LEFT(E84,3),'Material editor'!$D$11:$AE$110,'Material editor'!$AE$8,0),"")</f>
        <v/>
      </c>
      <c r="O84" s="201"/>
      <c r="P84" s="201"/>
      <c r="Q84" s="201"/>
      <c r="R84" s="228"/>
      <c r="S84" s="228"/>
      <c r="T84" s="228"/>
      <c r="U84" s="214"/>
      <c r="V84" s="201"/>
      <c r="W84" s="201"/>
      <c r="X84" s="201"/>
      <c r="Y84" s="201"/>
      <c r="Z84" s="201"/>
      <c r="AA84" s="201"/>
      <c r="AB84" s="201"/>
      <c r="AC84" s="201"/>
      <c r="AD84" s="201"/>
      <c r="AE84" s="201"/>
      <c r="AF84" s="201"/>
      <c r="AG84" s="201"/>
      <c r="AH84" s="201"/>
      <c r="AI84" s="201"/>
      <c r="AJ84" s="201"/>
    </row>
    <row r="85" spans="1:36" hidden="1" outlineLevel="2" x14ac:dyDescent="0.25">
      <c r="A85" s="201"/>
      <c r="B85" s="201"/>
      <c r="C85" s="227"/>
      <c r="D85" s="232" t="s">
        <v>746</v>
      </c>
      <c r="E85" s="204" t="s">
        <v>1046</v>
      </c>
      <c r="F85" s="205">
        <f>IF(ISNUMBER(VLOOKUP(LEFT(E85,3),'Material editor'!$D$11:$H$110,'Material editor'!$F$8,0)),VLOOKUP(LEFT(E85,3),'Material editor'!$D$11:$H$110,'Material editor'!$F$8,0),"")</f>
        <v>647.25297961925958</v>
      </c>
      <c r="G85" s="205">
        <f>IF(ISNUMBER(VLOOKUP(LEFT(E85,3),'Material editor'!$D$11:$H$110,'Material editor'!$G$8,0)),VLOOKUP(LEFT(E85,3),'Material editor'!$D$11:$H$110,'Material editor'!$G$8,0),"")</f>
        <v>153.00099181306416</v>
      </c>
      <c r="H85" s="205">
        <f>IF(ISNUMBER(VLOOKUP(LEFT(E85,3),'Material editor'!$D$11:$H$110,'Material editor'!$H$8,0)),VLOOKUP(LEFT(E85,3),'Material editor'!$D$11:$H$110,'Material editor'!$H$8,0),"")</f>
        <v>40</v>
      </c>
      <c r="I85" s="94">
        <f>3515+2365</f>
        <v>5880</v>
      </c>
      <c r="J85" s="206"/>
      <c r="K85" s="206"/>
      <c r="L85" s="207">
        <f>F85*I85/(1000*1000)*Balance!$H$13/H85</f>
        <v>1.9029237600806232</v>
      </c>
      <c r="M85" s="207">
        <f>G85*I85/(1000*1000)*Balance!$H$13/H85</f>
        <v>0.44982291593040868</v>
      </c>
      <c r="N85" s="207" t="str">
        <f>IF(ISTEXT(VLOOKUP(LEFT(E85,3),'Material editor'!$D$11:$AE$110,'Material editor'!$AE$8,0)),VLOOKUP(LEFT(E85,3),'Material editor'!$D$11:$AE$110,'Material editor'!$AE$8,0),"")</f>
        <v/>
      </c>
      <c r="O85" s="201"/>
      <c r="P85" s="201"/>
      <c r="Q85" s="201"/>
      <c r="R85" s="228"/>
      <c r="S85" s="228"/>
      <c r="T85" s="228"/>
      <c r="U85" s="214"/>
      <c r="V85" s="201"/>
      <c r="W85" s="201"/>
      <c r="X85" s="201"/>
      <c r="Y85" s="201"/>
      <c r="Z85" s="201"/>
      <c r="AA85" s="201"/>
      <c r="AB85" s="201"/>
      <c r="AC85" s="201"/>
      <c r="AD85" s="201"/>
      <c r="AE85" s="201"/>
      <c r="AF85" s="201"/>
      <c r="AG85" s="201"/>
      <c r="AH85" s="201"/>
      <c r="AI85" s="201"/>
      <c r="AJ85" s="201"/>
    </row>
    <row r="86" spans="1:36" hidden="1" outlineLevel="2" x14ac:dyDescent="0.25">
      <c r="A86" s="201"/>
      <c r="B86" s="201"/>
      <c r="C86" s="227"/>
      <c r="D86" s="232" t="s">
        <v>682</v>
      </c>
      <c r="E86" s="204" t="s">
        <v>683</v>
      </c>
      <c r="F86" s="205">
        <f>IF(ISNUMBER(VLOOKUP(LEFT(E86,3),'Material editor'!$D$11:$H$110,'Material editor'!$F$8,0)),VLOOKUP(LEFT(E86,3),'Material editor'!$D$11:$H$110,'Material editor'!$F$8,0),"")</f>
        <v>8577.8982058033398</v>
      </c>
      <c r="G86" s="205">
        <f>IF(ISNUMBER(VLOOKUP(LEFT(E86,3),'Material editor'!$D$11:$H$110,'Material editor'!$G$8,0)),VLOOKUP(LEFT(E86,3),'Material editor'!$D$11:$H$110,'Material editor'!$G$8,0),"")</f>
        <v>1740.6610483823918</v>
      </c>
      <c r="H86" s="205">
        <f>IF(ISNUMBER(VLOOKUP(LEFT(E86,3),'Material editor'!$D$11:$H$110,'Material editor'!$H$8,0)),VLOOKUP(LEFT(E86,3),'Material editor'!$D$11:$H$110,'Material editor'!$H$8,0),"")</f>
        <v>20</v>
      </c>
      <c r="I86" s="94">
        <v>200</v>
      </c>
      <c r="J86" s="206"/>
      <c r="K86" s="206"/>
      <c r="L86" s="207">
        <f>F86*I86/(1000*1000)*Balance!$H$13/H86</f>
        <v>1.7155796411606681</v>
      </c>
      <c r="M86" s="207">
        <f>G86*I86/(1000*1000)*Balance!$H$13/H86</f>
        <v>0.34813220967647834</v>
      </c>
      <c r="N86" s="207" t="str">
        <f>IF(ISTEXT(VLOOKUP(LEFT(E86,3),'Material editor'!$D$11:$AE$110,'Material editor'!$AE$8,0)),VLOOKUP(LEFT(E86,3),'Material editor'!$D$11:$AE$110,'Material editor'!$AE$8,0),"")</f>
        <v/>
      </c>
      <c r="O86" s="201"/>
      <c r="P86" s="201"/>
      <c r="Q86" s="201"/>
      <c r="R86" s="228"/>
      <c r="S86" s="228"/>
      <c r="T86" s="228"/>
      <c r="U86" s="214"/>
      <c r="V86" s="201"/>
      <c r="W86" s="201"/>
      <c r="X86" s="201"/>
      <c r="Y86" s="201"/>
      <c r="Z86" s="201"/>
      <c r="AA86" s="201"/>
      <c r="AB86" s="201"/>
      <c r="AC86" s="201"/>
      <c r="AD86" s="201"/>
      <c r="AE86" s="201"/>
      <c r="AF86" s="201"/>
      <c r="AG86" s="201"/>
      <c r="AH86" s="201"/>
      <c r="AI86" s="201"/>
      <c r="AJ86" s="201"/>
    </row>
    <row r="87" spans="1:36" hidden="1" outlineLevel="2" x14ac:dyDescent="0.25">
      <c r="A87" s="201"/>
      <c r="B87" s="201"/>
      <c r="C87" s="227"/>
      <c r="D87" s="232" t="s">
        <v>676</v>
      </c>
      <c r="E87" s="204" t="s">
        <v>695</v>
      </c>
      <c r="F87" s="205">
        <f>IF(ISNUMBER(VLOOKUP(LEFT(E87,3),'Material editor'!$D$11:$H$110,'Material editor'!$F$8,0)),VLOOKUP(LEFT(E87,3),'Material editor'!$D$11:$H$110,'Material editor'!$F$8,0),"")</f>
        <v>466.17168646647775</v>
      </c>
      <c r="G87" s="205">
        <f>IF(ISNUMBER(VLOOKUP(LEFT(E87,3),'Material editor'!$D$11:$H$110,'Material editor'!$G$8,0)),VLOOKUP(LEFT(E87,3),'Material editor'!$D$11:$H$110,'Material editor'!$G$8,0),"")</f>
        <v>277.61449206973299</v>
      </c>
      <c r="H87" s="205">
        <f>IF(ISNUMBER(VLOOKUP(LEFT(E87,3),'Material editor'!$D$11:$H$110,'Material editor'!$H$8,0)),VLOOKUP(LEFT(E87,3),'Material editor'!$D$11:$H$110,'Material editor'!$H$8,0),"")</f>
        <v>40</v>
      </c>
      <c r="I87" s="94">
        <f>35+20</f>
        <v>55</v>
      </c>
      <c r="J87" s="206"/>
      <c r="K87" s="206"/>
      <c r="L87" s="207">
        <f>F87*I87/(1000*1000)*Balance!$H$13/H87</f>
        <v>1.281972137782814E-2</v>
      </c>
      <c r="M87" s="207">
        <f>G87*I87/(1000*1000)*Balance!$H$13/H87</f>
        <v>7.6343985319176581E-3</v>
      </c>
      <c r="N87" s="207" t="str">
        <f>IF(ISTEXT(VLOOKUP(LEFT(E87,3),'Material editor'!$D$11:$AE$110,'Material editor'!$AE$8,0)),VLOOKUP(LEFT(E87,3),'Material editor'!$D$11:$AE$110,'Material editor'!$AE$8,0),"")</f>
        <v/>
      </c>
      <c r="O87" s="201"/>
      <c r="P87" s="201"/>
      <c r="Q87" s="201"/>
      <c r="R87" s="228"/>
      <c r="S87" s="228"/>
      <c r="T87" s="228"/>
      <c r="U87" s="214"/>
      <c r="V87" s="201"/>
      <c r="W87" s="201"/>
      <c r="X87" s="201"/>
      <c r="Y87" s="201"/>
      <c r="Z87" s="201"/>
      <c r="AA87" s="201"/>
      <c r="AB87" s="201"/>
      <c r="AC87" s="201"/>
      <c r="AD87" s="201"/>
      <c r="AE87" s="201"/>
      <c r="AF87" s="201"/>
      <c r="AG87" s="201"/>
      <c r="AH87" s="201"/>
      <c r="AI87" s="201"/>
      <c r="AJ87" s="201"/>
    </row>
    <row r="88" spans="1:36" hidden="1" outlineLevel="2" x14ac:dyDescent="0.25">
      <c r="A88" s="201"/>
      <c r="B88" s="201"/>
      <c r="C88" s="227"/>
      <c r="D88" s="232" t="s">
        <v>677</v>
      </c>
      <c r="E88" s="204" t="s">
        <v>1044</v>
      </c>
      <c r="F88" s="205">
        <f>IF(ISNUMBER(VLOOKUP(LEFT(E88,3),'Material editor'!$D$11:$H$110,'Material editor'!$F$8,0)),VLOOKUP(LEFT(E88,3),'Material editor'!$D$11:$H$110,'Material editor'!$F$8,0),"")</f>
        <v>56758.989170428904</v>
      </c>
      <c r="G88" s="205">
        <f>IF(ISNUMBER(VLOOKUP(LEFT(E88,3),'Material editor'!$D$11:$H$110,'Material editor'!$G$8,0)),VLOOKUP(LEFT(E88,3),'Material editor'!$D$11:$H$110,'Material editor'!$G$8,0),"")</f>
        <v>10071.17420653871</v>
      </c>
      <c r="H88" s="205">
        <f>IF(ISNUMBER(VLOOKUP(LEFT(E88,3),'Material editor'!$D$11:$H$110,'Material editor'!$H$8,0)),VLOOKUP(LEFT(E88,3),'Material editor'!$D$11:$H$110,'Material editor'!$H$8,0),"")</f>
        <v>40</v>
      </c>
      <c r="I88" s="94">
        <f>2*15</f>
        <v>30</v>
      </c>
      <c r="J88" s="206"/>
      <c r="K88" s="206"/>
      <c r="L88" s="207">
        <f>F88*I88/(1000*1000)*Balance!$H$13/H88</f>
        <v>0.85138483755643346</v>
      </c>
      <c r="M88" s="207">
        <f>G88*I88/(1000*1000)*Balance!$H$13/H88</f>
        <v>0.15106761309808064</v>
      </c>
      <c r="N88" s="207" t="str">
        <f>IF(ISTEXT(VLOOKUP(LEFT(E88,3),'Material editor'!$D$11:$AE$110,'Material editor'!$AE$8,0)),VLOOKUP(LEFT(E88,3),'Material editor'!$D$11:$AE$110,'Material editor'!$AE$8,0),"")</f>
        <v/>
      </c>
      <c r="O88" s="201"/>
      <c r="P88" s="201"/>
      <c r="Q88" s="201"/>
      <c r="R88" s="228"/>
      <c r="S88" s="228"/>
      <c r="T88" s="228"/>
      <c r="U88" s="214"/>
      <c r="V88" s="201"/>
      <c r="W88" s="201"/>
      <c r="X88" s="201"/>
      <c r="Y88" s="201"/>
      <c r="Z88" s="201"/>
      <c r="AA88" s="201"/>
      <c r="AB88" s="201"/>
      <c r="AC88" s="201"/>
      <c r="AD88" s="201"/>
      <c r="AE88" s="201"/>
      <c r="AF88" s="201"/>
      <c r="AG88" s="201"/>
      <c r="AH88" s="201"/>
      <c r="AI88" s="201"/>
      <c r="AJ88" s="201"/>
    </row>
    <row r="89" spans="1:36" hidden="1" outlineLevel="2" x14ac:dyDescent="0.25">
      <c r="A89" s="201"/>
      <c r="B89" s="201"/>
      <c r="C89" s="227"/>
      <c r="D89" s="232" t="s">
        <v>678</v>
      </c>
      <c r="E89" s="204" t="s">
        <v>1045</v>
      </c>
      <c r="F89" s="205">
        <f>IF(ISNUMBER(VLOOKUP(LEFT(E89,3),'Material editor'!$D$11:$H$110,'Material editor'!$F$8,0)),VLOOKUP(LEFT(E89,3),'Material editor'!$D$11:$H$110,'Material editor'!$F$8,0),"")</f>
        <v>31554.72432133375</v>
      </c>
      <c r="G89" s="205">
        <f>IF(ISNUMBER(VLOOKUP(LEFT(E89,3),'Material editor'!$D$11:$H$110,'Material editor'!$G$8,0)),VLOOKUP(LEFT(E89,3),'Material editor'!$D$11:$H$110,'Material editor'!$G$8,0),"")</f>
        <v>7570.5013256411439</v>
      </c>
      <c r="H89" s="205">
        <f>IF(ISNUMBER(VLOOKUP(LEFT(E89,3),'Material editor'!$D$11:$H$110,'Material editor'!$H$8,0)),VLOOKUP(LEFT(E89,3),'Material editor'!$D$11:$H$110,'Material editor'!$H$8,0),"")</f>
        <v>40</v>
      </c>
      <c r="I89" s="94">
        <v>50</v>
      </c>
      <c r="J89" s="206"/>
      <c r="K89" s="206"/>
      <c r="L89" s="207">
        <f>F89*I89/(1000*1000)*Balance!$H$13/H89</f>
        <v>0.78886810803334373</v>
      </c>
      <c r="M89" s="207">
        <f>G89*I89/(1000*1000)*Balance!$H$13/H89</f>
        <v>0.18926253314102859</v>
      </c>
      <c r="N89" s="207" t="str">
        <f>IF(ISTEXT(VLOOKUP(LEFT(E89,3),'Material editor'!$D$11:$AE$110,'Material editor'!$AE$8,0)),VLOOKUP(LEFT(E89,3),'Material editor'!$D$11:$AE$110,'Material editor'!$AE$8,0),"")</f>
        <v/>
      </c>
      <c r="O89" s="201"/>
      <c r="P89" s="201"/>
      <c r="Q89" s="201"/>
      <c r="R89" s="228"/>
      <c r="S89" s="228"/>
      <c r="T89" s="228"/>
      <c r="U89" s="214"/>
      <c r="V89" s="201"/>
      <c r="W89" s="201"/>
      <c r="X89" s="201"/>
      <c r="Y89" s="201"/>
      <c r="Z89" s="201"/>
      <c r="AA89" s="201"/>
      <c r="AB89" s="201"/>
      <c r="AC89" s="201"/>
      <c r="AD89" s="201"/>
      <c r="AE89" s="201"/>
      <c r="AF89" s="201"/>
      <c r="AG89" s="201"/>
      <c r="AH89" s="201"/>
      <c r="AI89" s="201"/>
      <c r="AJ89" s="201"/>
    </row>
    <row r="90" spans="1:36" hidden="1" outlineLevel="2" x14ac:dyDescent="0.25">
      <c r="A90" s="201"/>
      <c r="B90" s="201"/>
      <c r="C90" s="227"/>
      <c r="D90" s="232" t="s">
        <v>727</v>
      </c>
      <c r="E90" s="204" t="s">
        <v>1041</v>
      </c>
      <c r="F90" s="205">
        <f>IF(ISNUMBER(VLOOKUP(LEFT(E90,3),'Material editor'!$D$11:$H$110,'Material editor'!$F$8,0)),VLOOKUP(LEFT(E90,3),'Material editor'!$D$11:$H$110,'Material editor'!$F$8,0),"")</f>
        <v>12876.183614626107</v>
      </c>
      <c r="G90" s="205">
        <f>IF(ISNUMBER(VLOOKUP(LEFT(E90,3),'Material editor'!$D$11:$H$110,'Material editor'!$G$8,0)),VLOOKUP(LEFT(E90,3),'Material editor'!$D$11:$H$110,'Material editor'!$G$8,0),"")</f>
        <v>2121.6494532607658</v>
      </c>
      <c r="H90" s="205">
        <f>IF(ISNUMBER(VLOOKUP(LEFT(E90,3),'Material editor'!$D$11:$H$110,'Material editor'!$H$8,0)),VLOOKUP(LEFT(E90,3),'Material editor'!$D$11:$H$110,'Material editor'!$H$8,0),"")</f>
        <v>40</v>
      </c>
      <c r="I90" s="206"/>
      <c r="J90" s="94">
        <f>366+461</f>
        <v>827</v>
      </c>
      <c r="K90" s="79">
        <v>0.15</v>
      </c>
      <c r="L90" s="207">
        <f>(F90*J90/1000*K90/1000)*Balance!$H$13/H90</f>
        <v>0.7986452886971841</v>
      </c>
      <c r="M90" s="207">
        <f>G90*J90/(1000*1000)*Balance!$H$13/H90</f>
        <v>0.87730204892332664</v>
      </c>
      <c r="N90" s="207"/>
      <c r="O90" s="201"/>
      <c r="P90" s="201"/>
      <c r="Q90" s="201"/>
      <c r="R90" s="228"/>
      <c r="S90" s="228"/>
      <c r="T90" s="228"/>
      <c r="U90" s="214"/>
      <c r="V90" s="201"/>
      <c r="W90" s="201"/>
      <c r="X90" s="201"/>
      <c r="Y90" s="201"/>
      <c r="Z90" s="201"/>
      <c r="AA90" s="201"/>
      <c r="AB90" s="201"/>
      <c r="AC90" s="201"/>
      <c r="AD90" s="201"/>
      <c r="AE90" s="201"/>
      <c r="AF90" s="201"/>
      <c r="AG90" s="201"/>
      <c r="AH90" s="201"/>
      <c r="AI90" s="201"/>
      <c r="AJ90" s="201"/>
    </row>
    <row r="91" spans="1:36" hidden="1" outlineLevel="2" x14ac:dyDescent="0.25">
      <c r="A91" s="201"/>
      <c r="B91" s="201"/>
      <c r="C91" s="227"/>
      <c r="D91" s="232" t="s">
        <v>728</v>
      </c>
      <c r="E91" s="204" t="s">
        <v>1042</v>
      </c>
      <c r="F91" s="205">
        <f>IF(ISNUMBER(VLOOKUP(LEFT(E91,3),'Material editor'!$D$11:$H$110,'Material editor'!$F$8,0)),VLOOKUP(LEFT(E91,3),'Material editor'!$D$11:$H$110,'Material editor'!$F$8,0),"")</f>
        <v>13437.299176949344</v>
      </c>
      <c r="G91" s="205">
        <f>IF(ISNUMBER(VLOOKUP(LEFT(E91,3),'Material editor'!$D$11:$H$110,'Material editor'!$G$8,0)),VLOOKUP(LEFT(E91,3),'Material editor'!$D$11:$H$110,'Material editor'!$G$8,0),"")</f>
        <v>2087.9914411917075</v>
      </c>
      <c r="H91" s="205">
        <f>IF(ISNUMBER(VLOOKUP(LEFT(E91,3),'Material editor'!$D$11:$H$110,'Material editor'!$H$8,0)),VLOOKUP(LEFT(E91,3),'Material editor'!$D$11:$H$110,'Material editor'!$H$8,0),"")</f>
        <v>40</v>
      </c>
      <c r="I91" s="206"/>
      <c r="J91" s="94">
        <f>J90</f>
        <v>827</v>
      </c>
      <c r="K91" s="79">
        <v>0.15</v>
      </c>
      <c r="L91" s="207">
        <f>(F91*J91/1000*K91/1000)*Balance!$H$13/H91</f>
        <v>0.83344848145028316</v>
      </c>
      <c r="M91" s="207">
        <f>G91*J91/(1000*1000)*Balance!$H$13/H91</f>
        <v>0.86338446093277121</v>
      </c>
      <c r="N91" s="207"/>
      <c r="O91" s="201"/>
      <c r="P91" s="201"/>
      <c r="Q91" s="201"/>
      <c r="R91" s="228"/>
      <c r="S91" s="228"/>
      <c r="T91" s="228"/>
      <c r="U91" s="214"/>
      <c r="V91" s="201"/>
      <c r="W91" s="201"/>
      <c r="X91" s="201"/>
      <c r="Y91" s="201"/>
      <c r="Z91" s="201"/>
      <c r="AA91" s="201"/>
      <c r="AB91" s="201"/>
      <c r="AC91" s="201"/>
      <c r="AD91" s="201"/>
      <c r="AE91" s="201"/>
      <c r="AF91" s="201"/>
      <c r="AG91" s="201"/>
      <c r="AH91" s="201"/>
      <c r="AI91" s="201"/>
      <c r="AJ91" s="201"/>
    </row>
    <row r="92" spans="1:36" hidden="1" outlineLevel="2" x14ac:dyDescent="0.25">
      <c r="A92" s="201"/>
      <c r="B92" s="201"/>
      <c r="C92" s="227"/>
      <c r="D92" s="232" t="s">
        <v>729</v>
      </c>
      <c r="E92" s="204" t="s">
        <v>1043</v>
      </c>
      <c r="F92" s="205">
        <f>IF(ISNUMBER(VLOOKUP(LEFT(E92,3),'Material editor'!$D$11:$H$110,'Material editor'!$F$8,0)),VLOOKUP(LEFT(E92,3),'Material editor'!$D$11:$H$110,'Material editor'!$F$8,0),"")</f>
        <v>12876.183614626107</v>
      </c>
      <c r="G92" s="205">
        <f>IF(ISNUMBER(VLOOKUP(LEFT(E92,3),'Material editor'!$D$11:$H$110,'Material editor'!$G$8,0)),VLOOKUP(LEFT(E92,3),'Material editor'!$D$11:$H$110,'Material editor'!$G$8,0),"")</f>
        <v>2121.6494532607658</v>
      </c>
      <c r="H92" s="205">
        <f>IF(ISNUMBER(VLOOKUP(LEFT(E92,3),'Material editor'!$D$11:$H$110,'Material editor'!$H$8,0)),VLOOKUP(LEFT(E92,3),'Material editor'!$D$11:$H$110,'Material editor'!$H$8,0),"")</f>
        <v>10</v>
      </c>
      <c r="I92" s="206"/>
      <c r="J92" s="94">
        <f>J91</f>
        <v>827</v>
      </c>
      <c r="K92" s="79">
        <v>0.15</v>
      </c>
      <c r="L92" s="207">
        <f>(F92*J92/1000*K92/1000)*Balance!$H$13/H92</f>
        <v>3.1945811547887364</v>
      </c>
      <c r="M92" s="207">
        <f>G92*J92/(1000*1000)*Balance!$H$13/H92</f>
        <v>3.5092081956933066</v>
      </c>
      <c r="N92" s="207"/>
      <c r="O92" s="201"/>
      <c r="P92" s="201"/>
      <c r="Q92" s="201"/>
      <c r="R92" s="228"/>
      <c r="S92" s="228"/>
      <c r="T92" s="228"/>
      <c r="U92" s="214"/>
      <c r="V92" s="201"/>
      <c r="W92" s="201"/>
      <c r="X92" s="201"/>
      <c r="Y92" s="201"/>
      <c r="Z92" s="201"/>
      <c r="AA92" s="201"/>
      <c r="AB92" s="201"/>
      <c r="AC92" s="201"/>
      <c r="AD92" s="201"/>
      <c r="AE92" s="201"/>
      <c r="AF92" s="201"/>
      <c r="AG92" s="201"/>
      <c r="AH92" s="201"/>
      <c r="AI92" s="201"/>
      <c r="AJ92" s="201"/>
    </row>
    <row r="93" spans="1:36" hidden="1" outlineLevel="2" x14ac:dyDescent="0.25">
      <c r="A93" s="201"/>
      <c r="B93" s="201"/>
      <c r="C93" s="227"/>
      <c r="D93" s="208"/>
      <c r="E93" s="204"/>
      <c r="F93" s="205"/>
      <c r="G93" s="205"/>
      <c r="H93" s="205"/>
      <c r="I93" s="206"/>
      <c r="J93" s="206"/>
      <c r="K93" s="206"/>
      <c r="L93" s="207"/>
      <c r="M93" s="207"/>
      <c r="N93" s="207"/>
      <c r="O93" s="201"/>
      <c r="P93" s="201"/>
      <c r="Q93" s="201"/>
      <c r="R93" s="228"/>
      <c r="S93" s="228"/>
      <c r="T93" s="228"/>
      <c r="U93" s="214"/>
      <c r="V93" s="201"/>
      <c r="W93" s="201"/>
      <c r="X93" s="201"/>
      <c r="Y93" s="201"/>
      <c r="Z93" s="201"/>
      <c r="AA93" s="201"/>
      <c r="AB93" s="201"/>
      <c r="AC93" s="201"/>
      <c r="AD93" s="201"/>
      <c r="AE93" s="201"/>
      <c r="AF93" s="201"/>
      <c r="AG93" s="201"/>
      <c r="AH93" s="201"/>
      <c r="AI93" s="201"/>
      <c r="AJ93" s="201"/>
    </row>
    <row r="94" spans="1:36" hidden="1" outlineLevel="2" x14ac:dyDescent="0.25">
      <c r="A94" s="201"/>
      <c r="B94" s="201"/>
      <c r="C94" s="227"/>
      <c r="D94" s="233"/>
      <c r="E94" s="234"/>
      <c r="F94" s="235" t="s">
        <v>732</v>
      </c>
      <c r="G94" s="235" t="s">
        <v>733</v>
      </c>
      <c r="H94" s="235" t="s">
        <v>734</v>
      </c>
      <c r="I94" s="235"/>
      <c r="J94" s="235" t="s">
        <v>778</v>
      </c>
      <c r="K94" s="235"/>
      <c r="L94" s="203" t="s">
        <v>730</v>
      </c>
      <c r="M94" s="203" t="s">
        <v>731</v>
      </c>
      <c r="N94" s="236"/>
      <c r="O94" s="201"/>
      <c r="P94" s="201"/>
      <c r="Q94" s="201"/>
      <c r="R94" s="228"/>
      <c r="S94" s="228"/>
      <c r="T94" s="228"/>
      <c r="U94" s="214"/>
      <c r="V94" s="201"/>
      <c r="W94" s="201"/>
      <c r="X94" s="201"/>
      <c r="Y94" s="201"/>
      <c r="Z94" s="201"/>
      <c r="AA94" s="201"/>
      <c r="AB94" s="201"/>
      <c r="AC94" s="201"/>
      <c r="AD94" s="201"/>
      <c r="AE94" s="201"/>
      <c r="AF94" s="201"/>
      <c r="AG94" s="201"/>
      <c r="AH94" s="201"/>
      <c r="AI94" s="201"/>
      <c r="AJ94" s="201"/>
    </row>
    <row r="95" spans="1:36" hidden="1" outlineLevel="2" x14ac:dyDescent="0.25">
      <c r="A95" s="201"/>
      <c r="B95" s="201"/>
      <c r="C95" s="227"/>
      <c r="D95" s="213" t="s">
        <v>745</v>
      </c>
      <c r="E95" s="133" t="s">
        <v>744</v>
      </c>
      <c r="F95" s="79">
        <v>0.77600000000000002</v>
      </c>
      <c r="G95" s="93">
        <v>0.03</v>
      </c>
      <c r="H95" s="93">
        <v>0.12</v>
      </c>
      <c r="I95" s="201"/>
      <c r="J95" s="79">
        <v>1.5</v>
      </c>
      <c r="K95" s="228"/>
      <c r="L95" s="237">
        <f>IF(ISNUMBER(J95),J95*SUM(L84:L93),SUM(L84:L93))</f>
        <v>21.019988428001842</v>
      </c>
      <c r="M95" s="237">
        <f>IF(ISNUMBER(J95),J95*SUM(M84:M93),SUM(M84:M93))</f>
        <v>6.9887098555222886</v>
      </c>
      <c r="N95" s="133"/>
      <c r="O95" s="201"/>
      <c r="P95" s="201"/>
      <c r="Q95" s="201"/>
      <c r="R95" s="228"/>
      <c r="S95" s="228"/>
      <c r="T95" s="228"/>
      <c r="U95" s="214"/>
      <c r="V95" s="201"/>
      <c r="W95" s="201"/>
      <c r="X95" s="201"/>
      <c r="Y95" s="201"/>
      <c r="Z95" s="201"/>
      <c r="AA95" s="201"/>
      <c r="AB95" s="201"/>
      <c r="AC95" s="201"/>
      <c r="AD95" s="201"/>
      <c r="AE95" s="201"/>
      <c r="AF95" s="201"/>
      <c r="AG95" s="201"/>
      <c r="AH95" s="201"/>
      <c r="AI95" s="201"/>
      <c r="AJ95" s="201"/>
    </row>
    <row r="96" spans="1:36" hidden="1" outlineLevel="2" x14ac:dyDescent="0.25">
      <c r="B96" s="201"/>
      <c r="C96" s="18"/>
      <c r="D96" s="20"/>
      <c r="E96" s="20"/>
      <c r="F96" s="20"/>
      <c r="G96" s="20"/>
      <c r="H96" s="20"/>
      <c r="I96" s="20"/>
      <c r="J96" s="20"/>
      <c r="K96" s="20"/>
      <c r="L96" s="20"/>
      <c r="M96" s="20"/>
      <c r="N96" s="20"/>
      <c r="O96" s="20"/>
      <c r="P96" s="20"/>
      <c r="Q96" s="20"/>
      <c r="R96" s="20"/>
      <c r="S96" s="20"/>
      <c r="T96" s="20"/>
      <c r="U96" s="19"/>
    </row>
    <row r="97" spans="1:36" hidden="1" outlineLevel="2" x14ac:dyDescent="0.25">
      <c r="A97" s="201"/>
      <c r="B97" s="201"/>
      <c r="C97" s="227"/>
      <c r="D97" s="228">
        <f>COLUMN()</f>
        <v>4</v>
      </c>
      <c r="E97" s="228">
        <f t="shared" ref="E97:N97" si="81">COLUMN()-$D$28+1</f>
        <v>2</v>
      </c>
      <c r="F97" s="228">
        <f t="shared" si="81"/>
        <v>3</v>
      </c>
      <c r="G97" s="228">
        <f t="shared" si="81"/>
        <v>4</v>
      </c>
      <c r="H97" s="228">
        <f t="shared" si="81"/>
        <v>5</v>
      </c>
      <c r="I97" s="228">
        <f t="shared" si="81"/>
        <v>6</v>
      </c>
      <c r="J97" s="228">
        <f t="shared" si="81"/>
        <v>7</v>
      </c>
      <c r="K97" s="228">
        <f t="shared" si="81"/>
        <v>8</v>
      </c>
      <c r="L97" s="228">
        <f t="shared" si="81"/>
        <v>9</v>
      </c>
      <c r="M97" s="228">
        <f t="shared" si="81"/>
        <v>10</v>
      </c>
      <c r="N97" s="228">
        <f t="shared" si="81"/>
        <v>11</v>
      </c>
      <c r="O97" s="201"/>
      <c r="P97" s="201"/>
      <c r="Q97" s="201"/>
      <c r="R97" s="228"/>
      <c r="S97" s="228"/>
      <c r="T97" s="228"/>
      <c r="U97" s="214"/>
      <c r="V97" s="201"/>
      <c r="W97" s="201"/>
      <c r="X97" s="201"/>
      <c r="Y97" s="201"/>
      <c r="Z97" s="201"/>
      <c r="AA97" s="201"/>
      <c r="AB97" s="201"/>
      <c r="AC97" s="201"/>
      <c r="AD97" s="201"/>
      <c r="AE97" s="201"/>
      <c r="AF97" s="201"/>
      <c r="AG97" s="201"/>
      <c r="AH97" s="201"/>
      <c r="AI97" s="201"/>
      <c r="AJ97" s="201"/>
    </row>
    <row r="98" spans="1:36" ht="22.5" hidden="1" outlineLevel="1" collapsed="1" x14ac:dyDescent="0.25">
      <c r="A98" s="201"/>
      <c r="B98" s="201"/>
      <c r="C98" s="260" t="str">
        <f>D111</f>
        <v>Timber frame IV 68</v>
      </c>
      <c r="D98" s="228"/>
      <c r="E98" s="202" t="s">
        <v>82</v>
      </c>
      <c r="F98" s="202" t="str">
        <f>'Material editor'!$F$9</f>
        <v>Manfacturing energy</v>
      </c>
      <c r="G98" s="202" t="s">
        <v>149</v>
      </c>
      <c r="H98" s="202" t="str">
        <f>'Material editor'!$H$9</f>
        <v>Service life</v>
      </c>
      <c r="I98" s="202" t="s">
        <v>671</v>
      </c>
      <c r="J98" s="202" t="s">
        <v>679</v>
      </c>
      <c r="K98" s="202" t="s">
        <v>776</v>
      </c>
      <c r="L98" s="202" t="s">
        <v>143</v>
      </c>
      <c r="M98" s="202" t="s">
        <v>149</v>
      </c>
      <c r="N98" s="202" t="str">
        <f>'Material editor'!$AE$9</f>
        <v>Comment PHI</v>
      </c>
      <c r="O98" s="201"/>
      <c r="P98" s="201"/>
      <c r="Q98" s="201"/>
      <c r="R98" s="228"/>
      <c r="S98" s="228"/>
      <c r="T98" s="228"/>
      <c r="U98" s="214"/>
      <c r="V98" s="201"/>
      <c r="W98" s="201"/>
      <c r="X98" s="201"/>
      <c r="Y98" s="201"/>
      <c r="Z98" s="201"/>
      <c r="AA98" s="201"/>
      <c r="AB98" s="201"/>
      <c r="AC98" s="201"/>
      <c r="AD98" s="201"/>
      <c r="AE98" s="201"/>
      <c r="AF98" s="201"/>
      <c r="AG98" s="201"/>
      <c r="AH98" s="201"/>
      <c r="AI98" s="201"/>
      <c r="AJ98" s="201"/>
    </row>
    <row r="99" spans="1:36" hidden="1" outlineLevel="2" x14ac:dyDescent="0.25">
      <c r="A99" s="201"/>
      <c r="B99" s="201"/>
      <c r="C99" s="227"/>
      <c r="D99" s="228"/>
      <c r="E99" s="228"/>
      <c r="F99" s="203" t="s">
        <v>144</v>
      </c>
      <c r="G99" s="203" t="s">
        <v>148</v>
      </c>
      <c r="H99" s="203" t="s">
        <v>146</v>
      </c>
      <c r="I99" s="203" t="s">
        <v>672</v>
      </c>
      <c r="J99" s="203" t="s">
        <v>344</v>
      </c>
      <c r="K99" s="203" t="s">
        <v>777</v>
      </c>
      <c r="L99" s="203" t="s">
        <v>730</v>
      </c>
      <c r="M99" s="203" t="s">
        <v>731</v>
      </c>
      <c r="N99" s="228"/>
      <c r="O99" s="201"/>
      <c r="P99" s="201"/>
      <c r="Q99" s="201"/>
      <c r="R99" s="228"/>
      <c r="S99" s="228"/>
      <c r="T99" s="228"/>
      <c r="U99" s="214"/>
      <c r="V99" s="201"/>
      <c r="W99" s="201"/>
      <c r="X99" s="201"/>
      <c r="Y99" s="201"/>
      <c r="Z99" s="201"/>
      <c r="AA99" s="201"/>
      <c r="AB99" s="201"/>
      <c r="AC99" s="201"/>
      <c r="AD99" s="201"/>
      <c r="AE99" s="201"/>
      <c r="AF99" s="201"/>
      <c r="AG99" s="201"/>
      <c r="AH99" s="201"/>
      <c r="AI99" s="201"/>
      <c r="AJ99" s="201"/>
    </row>
    <row r="100" spans="1:36" hidden="1" outlineLevel="2" x14ac:dyDescent="0.25">
      <c r="A100" s="201"/>
      <c r="B100" s="201"/>
      <c r="C100" s="227"/>
      <c r="D100" s="232" t="s">
        <v>861</v>
      </c>
      <c r="E100" s="204" t="s">
        <v>859</v>
      </c>
      <c r="F100" s="205">
        <f>IF(ISNUMBER(VLOOKUP(LEFT(E100,3),'Material editor'!$D$11:$H$110,'Material editor'!$F$8,0)),VLOOKUP(LEFT(E100,3),'Material editor'!$D$11:$H$110,'Material editor'!$F$8,0),"")</f>
        <v>29.910715553911331</v>
      </c>
      <c r="G100" s="205">
        <f>IF(ISNUMBER(VLOOKUP(LEFT(E100,3),'Material editor'!$D$11:$H$110,'Material editor'!$G$8,0)),VLOOKUP(LEFT(E100,3),'Material editor'!$D$11:$H$110,'Material editor'!$G$8,0),"")</f>
        <v>0.31773084476390401</v>
      </c>
      <c r="H100" s="205">
        <f>IF(ISNUMBER(VLOOKUP(LEFT(E100,3),'Material editor'!$D$11:$H$110,'Material editor'!$H$8,0)),VLOOKUP(LEFT(E100,3),'Material editor'!$D$11:$H$110,'Material editor'!$H$8,0),"")</f>
        <v>40</v>
      </c>
      <c r="I100" s="94">
        <f>1000*1000</f>
        <v>1000000</v>
      </c>
      <c r="J100" s="206"/>
      <c r="K100" s="206"/>
      <c r="L100" s="207">
        <f>F100*I100/(1000*1000)*Balance!$H$13/H100</f>
        <v>14.955357776955665</v>
      </c>
      <c r="M100" s="207">
        <f>G100*I100/(1000*1000)*Balance!$H$13/H100</f>
        <v>0.158865422381952</v>
      </c>
      <c r="N100" s="207" t="str">
        <f>IF(ISTEXT(VLOOKUP(LEFT(E100,3),'Material editor'!$D$11:$AE$110,'Material editor'!$AE$8,0)),VLOOKUP(LEFT(E100,3),'Material editor'!$D$11:$AE$110,'Material editor'!$AE$8,0),"")</f>
        <v>kk 2022-04-19: according to description: IV 68Pine, 290 g paint per m</v>
      </c>
      <c r="O100" s="201"/>
      <c r="P100" s="201"/>
      <c r="Q100" s="201"/>
      <c r="R100" s="228"/>
      <c r="S100" s="228"/>
      <c r="T100" s="228"/>
      <c r="U100" s="214"/>
      <c r="V100" s="201"/>
      <c r="W100" s="201"/>
      <c r="X100" s="201"/>
      <c r="Y100" s="201"/>
      <c r="Z100" s="201"/>
      <c r="AA100" s="201"/>
      <c r="AB100" s="201"/>
      <c r="AC100" s="201"/>
      <c r="AD100" s="201"/>
      <c r="AE100" s="201"/>
      <c r="AF100" s="201"/>
      <c r="AG100" s="201"/>
      <c r="AH100" s="201"/>
      <c r="AI100" s="201"/>
      <c r="AJ100" s="201"/>
    </row>
    <row r="101" spans="1:36" hidden="1" outlineLevel="2" x14ac:dyDescent="0.25">
      <c r="A101" s="201"/>
      <c r="B101" s="201"/>
      <c r="C101" s="227"/>
      <c r="D101" s="232" t="s">
        <v>862</v>
      </c>
      <c r="E101" s="204" t="s">
        <v>860</v>
      </c>
      <c r="F101" s="205">
        <f>IF(ISNUMBER(VLOOKUP(LEFT(E101,3),'Material editor'!$D$11:$H$110,'Material editor'!$F$8,0)),VLOOKUP(LEFT(E101,3),'Material editor'!$D$11:$H$110,'Material editor'!$F$8,0),"")</f>
        <v>28.747738622924917</v>
      </c>
      <c r="G101" s="205">
        <f>IF(ISNUMBER(VLOOKUP(LEFT(E101,3),'Material editor'!$D$11:$H$110,'Material editor'!$G$8,0)),VLOOKUP(LEFT(E101,3),'Material editor'!$D$11:$H$110,'Material editor'!$G$8,0),"")</f>
        <v>7.2539157390630493E-2</v>
      </c>
      <c r="H101" s="205">
        <f>IF(ISNUMBER(VLOOKUP(LEFT(E101,3),'Material editor'!$D$11:$H$110,'Material editor'!$H$8,0)),VLOOKUP(LEFT(E101,3),'Material editor'!$D$11:$H$110,'Material editor'!$H$8,0),"")</f>
        <v>40</v>
      </c>
      <c r="I101" s="94">
        <f>1000*1000</f>
        <v>1000000</v>
      </c>
      <c r="J101" s="206"/>
      <c r="K101" s="206"/>
      <c r="L101" s="207">
        <f>F101*I101/(1000*1000)*Balance!$H$13/H101</f>
        <v>14.37386931146246</v>
      </c>
      <c r="M101" s="207">
        <f>G101*I101/(1000*1000)*Balance!$H$13/H101</f>
        <v>3.6269578695315247E-2</v>
      </c>
      <c r="N101" s="207" t="str">
        <f>IF(ISTEXT(VLOOKUP(LEFT(E101,3),'Material editor'!$D$11:$AE$110,'Material editor'!$AE$8,0)),VLOOKUP(LEFT(E101,3),'Material editor'!$D$11:$AE$110,'Material editor'!$AE$8,0),"")</f>
        <v>kk 2022-04-19: according to description: IV 68Pine, 290 g paint per m</v>
      </c>
      <c r="O101" s="201"/>
      <c r="P101" s="201"/>
      <c r="Q101" s="201"/>
      <c r="R101" s="228"/>
      <c r="S101" s="228"/>
      <c r="T101" s="228"/>
      <c r="U101" s="214"/>
      <c r="V101" s="201"/>
      <c r="W101" s="201"/>
      <c r="X101" s="201"/>
      <c r="Y101" s="201"/>
      <c r="Z101" s="201"/>
      <c r="AA101" s="201"/>
      <c r="AB101" s="201"/>
      <c r="AC101" s="201"/>
      <c r="AD101" s="201"/>
      <c r="AE101" s="201"/>
      <c r="AF101" s="201"/>
      <c r="AG101" s="201"/>
      <c r="AH101" s="201"/>
      <c r="AI101" s="201"/>
      <c r="AJ101" s="201"/>
    </row>
    <row r="102" spans="1:36" hidden="1" outlineLevel="2" x14ac:dyDescent="0.25">
      <c r="A102" s="201"/>
      <c r="B102" s="201"/>
      <c r="C102" s="227"/>
      <c r="D102" s="232"/>
      <c r="E102" s="204"/>
      <c r="F102" s="205"/>
      <c r="G102" s="205"/>
      <c r="H102" s="205"/>
      <c r="I102" s="205"/>
      <c r="J102" s="205"/>
      <c r="K102" s="205"/>
      <c r="L102" s="205"/>
      <c r="M102" s="207"/>
      <c r="N102" s="207" t="str">
        <f>IF(ISTEXT(VLOOKUP(LEFT(E102,3),'Material editor'!$D$11:$AE$110,'Material editor'!$AE$8,0)),VLOOKUP(LEFT(E102,3),'Material editor'!$D$11:$AE$110,'Material editor'!$AE$8,0),"")</f>
        <v/>
      </c>
      <c r="O102" s="201"/>
      <c r="P102" s="201"/>
      <c r="Q102" s="201"/>
      <c r="R102" s="228"/>
      <c r="S102" s="228"/>
      <c r="T102" s="228"/>
      <c r="U102" s="214"/>
      <c r="V102" s="201"/>
      <c r="W102" s="201"/>
      <c r="X102" s="201"/>
      <c r="Y102" s="201"/>
      <c r="Z102" s="201"/>
      <c r="AA102" s="201"/>
      <c r="AB102" s="201"/>
      <c r="AC102" s="201"/>
      <c r="AD102" s="201"/>
      <c r="AE102" s="201"/>
      <c r="AF102" s="201"/>
      <c r="AG102" s="201"/>
      <c r="AH102" s="201"/>
      <c r="AI102" s="201"/>
      <c r="AJ102" s="201"/>
    </row>
    <row r="103" spans="1:36" hidden="1" outlineLevel="2" x14ac:dyDescent="0.25">
      <c r="A103" s="201"/>
      <c r="B103" s="201"/>
      <c r="C103" s="227"/>
      <c r="D103" s="232"/>
      <c r="E103" s="204"/>
      <c r="F103" s="205"/>
      <c r="G103" s="205"/>
      <c r="H103" s="205"/>
      <c r="I103" s="205"/>
      <c r="J103" s="205"/>
      <c r="K103" s="205"/>
      <c r="L103" s="205"/>
      <c r="M103" s="207"/>
      <c r="N103" s="207" t="str">
        <f>IF(ISTEXT(VLOOKUP(LEFT(E103,3),'Material editor'!$D$11:$AE$110,'Material editor'!$AE$8,0)),VLOOKUP(LEFT(E103,3),'Material editor'!$D$11:$AE$110,'Material editor'!$AE$8,0),"")</f>
        <v/>
      </c>
      <c r="O103" s="201"/>
      <c r="P103" s="201"/>
      <c r="Q103" s="201"/>
      <c r="R103" s="228"/>
      <c r="S103" s="228"/>
      <c r="T103" s="228"/>
      <c r="U103" s="214"/>
      <c r="V103" s="201"/>
      <c r="W103" s="201"/>
      <c r="X103" s="201"/>
      <c r="Y103" s="201"/>
      <c r="Z103" s="201"/>
      <c r="AA103" s="201"/>
      <c r="AB103" s="201"/>
      <c r="AC103" s="201"/>
      <c r="AD103" s="201"/>
      <c r="AE103" s="201"/>
      <c r="AF103" s="201"/>
      <c r="AG103" s="201"/>
      <c r="AH103" s="201"/>
      <c r="AI103" s="201"/>
      <c r="AJ103" s="201"/>
    </row>
    <row r="104" spans="1:36" hidden="1" outlineLevel="2" x14ac:dyDescent="0.25">
      <c r="A104" s="201"/>
      <c r="B104" s="201"/>
      <c r="C104" s="227"/>
      <c r="D104" s="232"/>
      <c r="E104" s="204"/>
      <c r="F104" s="205"/>
      <c r="G104" s="205"/>
      <c r="H104" s="205"/>
      <c r="I104" s="205"/>
      <c r="J104" s="205"/>
      <c r="K104" s="205"/>
      <c r="L104" s="205"/>
      <c r="M104" s="207"/>
      <c r="N104" s="207" t="str">
        <f>IF(ISTEXT(VLOOKUP(LEFT(E104,3),'Material editor'!$D$11:$AE$110,'Material editor'!$AE$8,0)),VLOOKUP(LEFT(E104,3),'Material editor'!$D$11:$AE$110,'Material editor'!$AE$8,0),"")</f>
        <v/>
      </c>
      <c r="O104" s="201"/>
      <c r="P104" s="201"/>
      <c r="Q104" s="201"/>
      <c r="R104" s="228"/>
      <c r="S104" s="228"/>
      <c r="T104" s="228"/>
      <c r="U104" s="214"/>
      <c r="V104" s="201"/>
      <c r="W104" s="201"/>
      <c r="X104" s="201"/>
      <c r="Y104" s="201"/>
      <c r="Z104" s="201"/>
      <c r="AA104" s="201"/>
      <c r="AB104" s="201"/>
      <c r="AC104" s="201"/>
      <c r="AD104" s="201"/>
      <c r="AE104" s="201"/>
      <c r="AF104" s="201"/>
      <c r="AG104" s="201"/>
      <c r="AH104" s="201"/>
      <c r="AI104" s="201"/>
      <c r="AJ104" s="201"/>
    </row>
    <row r="105" spans="1:36" hidden="1" outlineLevel="2" x14ac:dyDescent="0.25">
      <c r="A105" s="201"/>
      <c r="B105" s="201"/>
      <c r="C105" s="227"/>
      <c r="D105" s="232"/>
      <c r="E105" s="204"/>
      <c r="F105" s="205"/>
      <c r="G105" s="205"/>
      <c r="H105" s="205"/>
      <c r="I105" s="205"/>
      <c r="J105" s="205"/>
      <c r="K105" s="205"/>
      <c r="L105" s="205"/>
      <c r="M105" s="207"/>
      <c r="N105" s="207" t="str">
        <f>IF(ISTEXT(VLOOKUP(LEFT(E105,3),'Material editor'!$D$11:$AE$110,'Material editor'!$AE$8,0)),VLOOKUP(LEFT(E105,3),'Material editor'!$D$11:$AE$110,'Material editor'!$AE$8,0),"")</f>
        <v/>
      </c>
      <c r="O105" s="201"/>
      <c r="P105" s="201"/>
      <c r="Q105" s="201"/>
      <c r="R105" s="228"/>
      <c r="S105" s="228"/>
      <c r="T105" s="228"/>
      <c r="U105" s="214"/>
      <c r="V105" s="201"/>
      <c r="W105" s="201"/>
      <c r="X105" s="201"/>
      <c r="Y105" s="201"/>
      <c r="Z105" s="201"/>
      <c r="AA105" s="201"/>
      <c r="AB105" s="201"/>
      <c r="AC105" s="201"/>
      <c r="AD105" s="201"/>
      <c r="AE105" s="201"/>
      <c r="AF105" s="201"/>
      <c r="AG105" s="201"/>
      <c r="AH105" s="201"/>
      <c r="AI105" s="201"/>
      <c r="AJ105" s="201"/>
    </row>
    <row r="106" spans="1:36" hidden="1" outlineLevel="2" x14ac:dyDescent="0.25">
      <c r="A106" s="201"/>
      <c r="B106" s="201"/>
      <c r="C106" s="227"/>
      <c r="D106" s="232"/>
      <c r="E106" s="204"/>
      <c r="F106" s="205"/>
      <c r="G106" s="205"/>
      <c r="H106" s="205"/>
      <c r="I106" s="205"/>
      <c r="J106" s="205"/>
      <c r="K106" s="205"/>
      <c r="L106" s="205"/>
      <c r="M106" s="207"/>
      <c r="N106" s="207"/>
      <c r="O106" s="201"/>
      <c r="P106" s="201"/>
      <c r="Q106" s="201"/>
      <c r="R106" s="228"/>
      <c r="S106" s="228"/>
      <c r="T106" s="228"/>
      <c r="U106" s="214"/>
      <c r="V106" s="201"/>
      <c r="W106" s="201"/>
      <c r="X106" s="201"/>
      <c r="Y106" s="201"/>
      <c r="Z106" s="201"/>
      <c r="AA106" s="201"/>
      <c r="AB106" s="201"/>
      <c r="AC106" s="201"/>
      <c r="AD106" s="201"/>
      <c r="AE106" s="201"/>
      <c r="AF106" s="201"/>
      <c r="AG106" s="201"/>
      <c r="AH106" s="201"/>
      <c r="AI106" s="201"/>
      <c r="AJ106" s="201"/>
    </row>
    <row r="107" spans="1:36" hidden="1" outlineLevel="2" x14ac:dyDescent="0.25">
      <c r="A107" s="201"/>
      <c r="B107" s="201"/>
      <c r="C107" s="227"/>
      <c r="D107" s="232"/>
      <c r="E107" s="204"/>
      <c r="F107" s="205"/>
      <c r="G107" s="205"/>
      <c r="H107" s="205"/>
      <c r="I107" s="205"/>
      <c r="J107" s="205"/>
      <c r="K107" s="205"/>
      <c r="L107" s="205"/>
      <c r="M107" s="207"/>
      <c r="N107" s="207"/>
      <c r="O107" s="201"/>
      <c r="P107" s="201"/>
      <c r="Q107" s="201"/>
      <c r="R107" s="228"/>
      <c r="S107" s="228"/>
      <c r="T107" s="228"/>
      <c r="U107" s="214"/>
      <c r="V107" s="201"/>
      <c r="W107" s="201"/>
      <c r="X107" s="201"/>
      <c r="Y107" s="201"/>
      <c r="Z107" s="201"/>
      <c r="AA107" s="201"/>
      <c r="AB107" s="201"/>
      <c r="AC107" s="201"/>
      <c r="AD107" s="201"/>
      <c r="AE107" s="201"/>
      <c r="AF107" s="201"/>
      <c r="AG107" s="201"/>
      <c r="AH107" s="201"/>
      <c r="AI107" s="201"/>
      <c r="AJ107" s="201"/>
    </row>
    <row r="108" spans="1:36" hidden="1" outlineLevel="2" x14ac:dyDescent="0.25">
      <c r="A108" s="201"/>
      <c r="B108" s="201"/>
      <c r="C108" s="227"/>
      <c r="D108" s="232"/>
      <c r="E108" s="204"/>
      <c r="F108" s="205"/>
      <c r="G108" s="205"/>
      <c r="H108" s="205"/>
      <c r="I108" s="205"/>
      <c r="J108" s="205"/>
      <c r="K108" s="205"/>
      <c r="L108" s="205"/>
      <c r="M108" s="207"/>
      <c r="N108" s="207"/>
      <c r="O108" s="201"/>
      <c r="P108" s="201"/>
      <c r="Q108" s="201"/>
      <c r="R108" s="228"/>
      <c r="S108" s="228"/>
      <c r="T108" s="228"/>
      <c r="U108" s="214"/>
      <c r="V108" s="201"/>
      <c r="W108" s="201"/>
      <c r="X108" s="201"/>
      <c r="Y108" s="201"/>
      <c r="Z108" s="201"/>
      <c r="AA108" s="201"/>
      <c r="AB108" s="201"/>
      <c r="AC108" s="201"/>
      <c r="AD108" s="201"/>
      <c r="AE108" s="201"/>
      <c r="AF108" s="201"/>
      <c r="AG108" s="201"/>
      <c r="AH108" s="201"/>
      <c r="AI108" s="201"/>
      <c r="AJ108" s="201"/>
    </row>
    <row r="109" spans="1:36" hidden="1" outlineLevel="2" x14ac:dyDescent="0.25">
      <c r="A109" s="201"/>
      <c r="B109" s="201"/>
      <c r="C109" s="227"/>
      <c r="D109" s="208"/>
      <c r="E109" s="204"/>
      <c r="F109" s="205"/>
      <c r="G109" s="205"/>
      <c r="H109" s="205"/>
      <c r="I109" s="206"/>
      <c r="J109" s="206"/>
      <c r="K109" s="206"/>
      <c r="L109" s="207"/>
      <c r="M109" s="207"/>
      <c r="N109" s="207"/>
      <c r="O109" s="201"/>
      <c r="P109" s="201"/>
      <c r="Q109" s="201"/>
      <c r="R109" s="228"/>
      <c r="S109" s="228"/>
      <c r="T109" s="228"/>
      <c r="U109" s="214"/>
      <c r="V109" s="201"/>
      <c r="W109" s="201"/>
      <c r="X109" s="201"/>
      <c r="Y109" s="201"/>
      <c r="Z109" s="201"/>
      <c r="AA109" s="201"/>
      <c r="AB109" s="201"/>
      <c r="AC109" s="201"/>
      <c r="AD109" s="201"/>
      <c r="AE109" s="201"/>
      <c r="AF109" s="201"/>
      <c r="AG109" s="201"/>
      <c r="AH109" s="201"/>
      <c r="AI109" s="201"/>
      <c r="AJ109" s="201"/>
    </row>
    <row r="110" spans="1:36" hidden="1" outlineLevel="2" x14ac:dyDescent="0.25">
      <c r="A110" s="201"/>
      <c r="B110" s="201"/>
      <c r="C110" s="227"/>
      <c r="D110" s="233"/>
      <c r="E110" s="234"/>
      <c r="F110" s="235" t="s">
        <v>732</v>
      </c>
      <c r="G110" s="235" t="s">
        <v>733</v>
      </c>
      <c r="H110" s="235" t="s">
        <v>734</v>
      </c>
      <c r="I110" s="235"/>
      <c r="J110" s="235" t="s">
        <v>778</v>
      </c>
      <c r="K110" s="235"/>
      <c r="L110" s="203" t="s">
        <v>730</v>
      </c>
      <c r="M110" s="203" t="s">
        <v>731</v>
      </c>
      <c r="N110" s="236"/>
      <c r="O110" s="201"/>
      <c r="P110" s="201"/>
      <c r="Q110" s="201"/>
      <c r="R110" s="228"/>
      <c r="S110" s="228"/>
      <c r="T110" s="228"/>
      <c r="U110" s="214"/>
      <c r="V110" s="201"/>
      <c r="W110" s="201"/>
      <c r="X110" s="201"/>
      <c r="Y110" s="201"/>
      <c r="Z110" s="201"/>
      <c r="AA110" s="201"/>
      <c r="AB110" s="201"/>
      <c r="AC110" s="201"/>
      <c r="AD110" s="201"/>
      <c r="AE110" s="201"/>
      <c r="AF110" s="201"/>
      <c r="AG110" s="201"/>
      <c r="AH110" s="201"/>
      <c r="AI110" s="201"/>
      <c r="AJ110" s="201"/>
    </row>
    <row r="111" spans="1:36" hidden="1" outlineLevel="2" x14ac:dyDescent="0.25">
      <c r="A111" s="201"/>
      <c r="B111" s="201"/>
      <c r="C111" s="227"/>
      <c r="D111" s="213" t="s">
        <v>857</v>
      </c>
      <c r="E111" s="133" t="s">
        <v>858</v>
      </c>
      <c r="F111" s="79">
        <v>1.6</v>
      </c>
      <c r="G111" s="93">
        <v>0.04</v>
      </c>
      <c r="H111" s="93">
        <v>0.16</v>
      </c>
      <c r="I111" s="201"/>
      <c r="J111" s="138">
        <v>1</v>
      </c>
      <c r="K111" s="228"/>
      <c r="L111" s="237">
        <f>IF(ISNUMBER(J111),J111*SUM(L100:L109),SUM(L100:L109))</f>
        <v>29.329227088418126</v>
      </c>
      <c r="M111" s="237">
        <f>IF(ISNUMBER(J111),J111*SUM(M100:M109),SUM(M100:M109))</f>
        <v>0.19513500107726725</v>
      </c>
      <c r="N111" s="133"/>
      <c r="O111" s="201"/>
      <c r="P111" s="201"/>
      <c r="Q111" s="201"/>
      <c r="R111" s="228"/>
      <c r="S111" s="228"/>
      <c r="T111" s="228"/>
      <c r="U111" s="214"/>
      <c r="V111" s="201"/>
      <c r="W111" s="201"/>
      <c r="X111" s="201"/>
      <c r="Y111" s="201"/>
      <c r="Z111" s="201"/>
      <c r="AA111" s="201"/>
      <c r="AB111" s="201"/>
      <c r="AC111" s="201"/>
      <c r="AD111" s="201"/>
      <c r="AE111" s="201"/>
      <c r="AF111" s="201"/>
      <c r="AG111" s="201"/>
      <c r="AH111" s="201"/>
      <c r="AI111" s="201"/>
      <c r="AJ111" s="201"/>
    </row>
    <row r="112" spans="1:36" hidden="1" outlineLevel="2" x14ac:dyDescent="0.25">
      <c r="B112" s="201"/>
      <c r="C112" s="225"/>
      <c r="D112" s="20"/>
      <c r="E112" s="20"/>
      <c r="F112" s="20"/>
      <c r="G112" s="20"/>
      <c r="H112" s="20"/>
      <c r="I112" s="20"/>
      <c r="J112" s="20"/>
      <c r="K112" s="20"/>
      <c r="L112" s="20"/>
      <c r="M112" s="20"/>
      <c r="N112" s="20"/>
      <c r="O112" s="20"/>
      <c r="P112" s="20"/>
      <c r="Q112" s="20"/>
      <c r="R112" s="20"/>
      <c r="S112" s="20"/>
      <c r="T112" s="20"/>
      <c r="U112" s="19"/>
      <c r="W112" s="201"/>
      <c r="X112" s="201"/>
      <c r="Y112" s="201"/>
      <c r="Z112" s="201"/>
      <c r="AA112" s="201"/>
      <c r="AB112" s="201"/>
      <c r="AC112" s="201"/>
      <c r="AD112" s="201"/>
      <c r="AE112" s="201"/>
      <c r="AF112" s="201"/>
      <c r="AG112" s="201"/>
      <c r="AH112" s="201"/>
      <c r="AI112" s="201"/>
      <c r="AJ112" s="201"/>
    </row>
    <row r="113" spans="1:36" hidden="1" outlineLevel="2" x14ac:dyDescent="0.25">
      <c r="A113" s="201"/>
      <c r="B113" s="201"/>
      <c r="C113" s="227"/>
      <c r="D113" s="228">
        <f>COLUMN()</f>
        <v>4</v>
      </c>
      <c r="E113" s="228">
        <f t="shared" ref="E113:N113" si="82">COLUMN()-$D$28+1</f>
        <v>2</v>
      </c>
      <c r="F113" s="228">
        <f t="shared" si="82"/>
        <v>3</v>
      </c>
      <c r="G113" s="228">
        <f t="shared" si="82"/>
        <v>4</v>
      </c>
      <c r="H113" s="228">
        <f t="shared" si="82"/>
        <v>5</v>
      </c>
      <c r="I113" s="228">
        <f t="shared" si="82"/>
        <v>6</v>
      </c>
      <c r="J113" s="228">
        <f t="shared" si="82"/>
        <v>7</v>
      </c>
      <c r="K113" s="228">
        <f t="shared" si="82"/>
        <v>8</v>
      </c>
      <c r="L113" s="228">
        <f t="shared" si="82"/>
        <v>9</v>
      </c>
      <c r="M113" s="228">
        <f t="shared" si="82"/>
        <v>10</v>
      </c>
      <c r="N113" s="228">
        <f t="shared" si="82"/>
        <v>11</v>
      </c>
      <c r="O113" s="201"/>
      <c r="P113" s="201"/>
      <c r="Q113" s="201"/>
      <c r="R113" s="228"/>
      <c r="S113" s="228"/>
      <c r="T113" s="228"/>
      <c r="U113" s="214"/>
      <c r="V113" s="201"/>
      <c r="W113" s="201"/>
      <c r="X113" s="201"/>
      <c r="Y113" s="201"/>
      <c r="Z113" s="201"/>
      <c r="AA113" s="201"/>
      <c r="AB113" s="201"/>
      <c r="AC113" s="201"/>
      <c r="AD113" s="201"/>
      <c r="AE113" s="201"/>
      <c r="AF113" s="201"/>
      <c r="AG113" s="201"/>
      <c r="AH113" s="201"/>
      <c r="AI113" s="201"/>
      <c r="AJ113" s="201"/>
    </row>
    <row r="114" spans="1:36" ht="22.5" hidden="1" outlineLevel="1" collapsed="1" x14ac:dyDescent="0.25">
      <c r="A114" s="201"/>
      <c r="B114" s="201"/>
      <c r="C114" s="260" t="str">
        <f>D127</f>
        <v>Ti-Alu integral</v>
      </c>
      <c r="D114" s="228"/>
      <c r="E114" s="202" t="s">
        <v>82</v>
      </c>
      <c r="F114" s="202" t="str">
        <f>'Material editor'!$F$9</f>
        <v>Manfacturing energy</v>
      </c>
      <c r="G114" s="202" t="s">
        <v>149</v>
      </c>
      <c r="H114" s="202" t="str">
        <f>'Material editor'!$H$9</f>
        <v>Service life</v>
      </c>
      <c r="I114" s="202" t="s">
        <v>671</v>
      </c>
      <c r="J114" s="202" t="s">
        <v>679</v>
      </c>
      <c r="K114" s="202" t="s">
        <v>776</v>
      </c>
      <c r="L114" s="202" t="s">
        <v>143</v>
      </c>
      <c r="M114" s="202" t="s">
        <v>149</v>
      </c>
      <c r="N114" s="202" t="str">
        <f>'Material editor'!$AE$9</f>
        <v>Comment PHI</v>
      </c>
      <c r="O114" s="201"/>
      <c r="P114" s="201"/>
      <c r="Q114" s="201"/>
      <c r="R114" s="228"/>
      <c r="S114" s="228"/>
      <c r="T114" s="228"/>
      <c r="U114" s="214"/>
      <c r="V114" s="201"/>
      <c r="W114" s="201"/>
      <c r="X114" s="201"/>
      <c r="Y114" s="201"/>
      <c r="Z114" s="201"/>
      <c r="AA114" s="201"/>
      <c r="AB114" s="201"/>
      <c r="AC114" s="201"/>
      <c r="AD114" s="201"/>
      <c r="AE114" s="201"/>
      <c r="AF114" s="201"/>
      <c r="AG114" s="201"/>
      <c r="AH114" s="201"/>
      <c r="AI114" s="201"/>
      <c r="AJ114" s="201"/>
    </row>
    <row r="115" spans="1:36" hidden="1" outlineLevel="2" x14ac:dyDescent="0.25">
      <c r="A115" s="201"/>
      <c r="B115" s="201"/>
      <c r="C115" s="227"/>
      <c r="D115" s="228"/>
      <c r="E115" s="228"/>
      <c r="F115" s="203" t="s">
        <v>144</v>
      </c>
      <c r="G115" s="203" t="s">
        <v>148</v>
      </c>
      <c r="H115" s="203" t="s">
        <v>146</v>
      </c>
      <c r="I115" s="203" t="s">
        <v>672</v>
      </c>
      <c r="J115" s="203" t="s">
        <v>344</v>
      </c>
      <c r="K115" s="203" t="s">
        <v>777</v>
      </c>
      <c r="L115" s="203" t="s">
        <v>730</v>
      </c>
      <c r="M115" s="203" t="s">
        <v>731</v>
      </c>
      <c r="N115" s="228"/>
      <c r="O115" s="201"/>
      <c r="P115" s="201"/>
      <c r="Q115" s="201"/>
      <c r="R115" s="228"/>
      <c r="S115" s="228"/>
      <c r="T115" s="228"/>
      <c r="U115" s="214"/>
      <c r="V115" s="201"/>
      <c r="W115" s="201"/>
      <c r="X115" s="201"/>
      <c r="Y115" s="201"/>
      <c r="Z115" s="201"/>
      <c r="AA115" s="201"/>
      <c r="AB115" s="201"/>
      <c r="AC115" s="201"/>
      <c r="AD115" s="201"/>
      <c r="AE115" s="201"/>
      <c r="AF115" s="201"/>
      <c r="AG115" s="201"/>
      <c r="AH115" s="201"/>
      <c r="AI115" s="201"/>
      <c r="AJ115" s="201"/>
    </row>
    <row r="116" spans="1:36" hidden="1" outlineLevel="2" x14ac:dyDescent="0.25">
      <c r="A116" s="201"/>
      <c r="B116" s="201"/>
      <c r="C116" s="227"/>
      <c r="D116" s="232" t="s">
        <v>674</v>
      </c>
      <c r="E116" s="204" t="s">
        <v>670</v>
      </c>
      <c r="F116" s="205">
        <f>IF(ISNUMBER(VLOOKUP(LEFT(E116,3),'Material editor'!$D$11:$H$110,'Material editor'!$F$8,0)),VLOOKUP(LEFT(E116,3),'Material editor'!$D$11:$H$110,'Material editor'!$F$8,0),"")</f>
        <v>1434.0932694222695</v>
      </c>
      <c r="G116" s="205">
        <f>IF(ISNUMBER(VLOOKUP(LEFT(E116,3),'Material editor'!$D$11:$H$110,'Material editor'!$G$8,0)),VLOOKUP(LEFT(E116,3),'Material editor'!$D$11:$H$110,'Material editor'!$G$8,0),"")</f>
        <v>-636.14449532812898</v>
      </c>
      <c r="H116" s="205">
        <f>IF(ISNUMBER(VLOOKUP(LEFT(E116,3),'Material editor'!$D$11:$H$110,'Material editor'!$H$8,0)),VLOOKUP(LEFT(E116,3),'Material editor'!$D$11:$H$110,'Material editor'!$H$8,0),"")</f>
        <v>40</v>
      </c>
      <c r="I116" s="94">
        <f>2605+5960+230</f>
        <v>8795</v>
      </c>
      <c r="J116" s="206"/>
      <c r="K116" s="206"/>
      <c r="L116" s="207">
        <f>F116*I116/(1000*1000)*Balance!$H$13/H116</f>
        <v>6.3064251522844303</v>
      </c>
      <c r="M116" s="207">
        <f>G116*I116/(1000*1000)*Balance!$H$13/H116</f>
        <v>-2.7974454182054469</v>
      </c>
      <c r="N116" s="207" t="str">
        <f>IF(ISTEXT(VLOOKUP(LEFT(E116,3),'Material editor'!$D$11:$AE$110,'Material editor'!$AE$8,0)),VLOOKUP(LEFT(E116,3),'Material editor'!$D$11:$AE$110,'Material editor'!$AE$8,0),"")</f>
        <v/>
      </c>
      <c r="O116" s="201"/>
      <c r="P116" s="201"/>
      <c r="Q116" s="201"/>
      <c r="R116" s="228"/>
      <c r="S116" s="228"/>
      <c r="T116" s="228"/>
      <c r="U116" s="214"/>
      <c r="V116" s="201"/>
      <c r="W116" s="201"/>
      <c r="X116" s="201"/>
      <c r="Y116" s="201"/>
      <c r="Z116" s="201"/>
      <c r="AA116" s="201"/>
      <c r="AB116" s="201"/>
      <c r="AC116" s="201"/>
      <c r="AD116" s="201"/>
      <c r="AE116" s="201"/>
      <c r="AF116" s="201"/>
      <c r="AG116" s="201"/>
      <c r="AH116" s="201"/>
      <c r="AI116" s="201"/>
      <c r="AJ116" s="201"/>
    </row>
    <row r="117" spans="1:36" hidden="1" outlineLevel="2" x14ac:dyDescent="0.25">
      <c r="A117" s="201"/>
      <c r="B117" s="201"/>
      <c r="C117" s="227"/>
      <c r="D117" s="232" t="s">
        <v>682</v>
      </c>
      <c r="E117" s="204" t="s">
        <v>683</v>
      </c>
      <c r="F117" s="205">
        <f>IF(ISNUMBER(VLOOKUP(LEFT(E117,3),'Material editor'!$D$11:$H$110,'Material editor'!$F$8,0)),VLOOKUP(LEFT(E117,3),'Material editor'!$D$11:$H$110,'Material editor'!$F$8,0),"")</f>
        <v>8577.8982058033398</v>
      </c>
      <c r="G117" s="205">
        <f>IF(ISNUMBER(VLOOKUP(LEFT(E117,3),'Material editor'!$D$11:$H$110,'Material editor'!$G$8,0)),VLOOKUP(LEFT(E117,3),'Material editor'!$D$11:$H$110,'Material editor'!$G$8,0),"")</f>
        <v>1740.6610483823918</v>
      </c>
      <c r="H117" s="205">
        <f>IF(ISNUMBER(VLOOKUP(LEFT(E117,3),'Material editor'!$D$11:$H$110,'Material editor'!$H$8,0)),VLOOKUP(LEFT(E117,3),'Material editor'!$D$11:$H$110,'Material editor'!$H$8,0),"")</f>
        <v>20</v>
      </c>
      <c r="I117" s="94">
        <f>70+80+85+45+40+40+14</f>
        <v>374</v>
      </c>
      <c r="J117" s="206"/>
      <c r="K117" s="206"/>
      <c r="L117" s="207">
        <f>F117*I117/(1000*1000)*Balance!$H$13/H117</f>
        <v>3.2081339289704487</v>
      </c>
      <c r="M117" s="207">
        <f>G117*I117/(1000*1000)*Balance!$H$13/H117</f>
        <v>0.65100723209501454</v>
      </c>
      <c r="N117" s="207" t="str">
        <f>IF(ISTEXT(VLOOKUP(LEFT(E117,3),'Material editor'!$D$11:$AE$110,'Material editor'!$AE$8,0)),VLOOKUP(LEFT(E117,3),'Material editor'!$D$11:$AE$110,'Material editor'!$AE$8,0),"")</f>
        <v/>
      </c>
      <c r="O117" s="201"/>
      <c r="P117" s="201"/>
      <c r="Q117" s="201"/>
      <c r="R117" s="228"/>
      <c r="S117" s="228"/>
      <c r="T117" s="228"/>
      <c r="U117" s="214"/>
      <c r="V117" s="201"/>
      <c r="W117" s="201"/>
      <c r="X117" s="201"/>
      <c r="Y117" s="201"/>
      <c r="Z117" s="201"/>
      <c r="AA117" s="201"/>
      <c r="AB117" s="201"/>
      <c r="AC117" s="201"/>
      <c r="AD117" s="201"/>
      <c r="AE117" s="201"/>
      <c r="AF117" s="201"/>
      <c r="AG117" s="201"/>
      <c r="AH117" s="201"/>
      <c r="AI117" s="201"/>
      <c r="AJ117" s="201"/>
    </row>
    <row r="118" spans="1:36" hidden="1" outlineLevel="2" x14ac:dyDescent="0.25">
      <c r="A118" s="201"/>
      <c r="B118" s="201"/>
      <c r="C118" s="227"/>
      <c r="D118" s="232" t="s">
        <v>758</v>
      </c>
      <c r="E118" s="204" t="s">
        <v>1047</v>
      </c>
      <c r="F118" s="205">
        <f>IF(ISNUMBER(VLOOKUP(LEFT(E118,3),'Material editor'!$D$11:$H$110,'Material editor'!$F$8,0)),VLOOKUP(LEFT(E118,3),'Material editor'!$D$11:$H$110,'Material editor'!$F$8,0),"")</f>
        <v>116264.03039558257</v>
      </c>
      <c r="G118" s="205">
        <f>IF(ISNUMBER(VLOOKUP(LEFT(E118,3),'Material editor'!$D$11:$H$110,'Material editor'!$G$8,0)),VLOOKUP(LEFT(E118,3),'Material editor'!$D$11:$H$110,'Material editor'!$G$8,0),"")</f>
        <v>23190.300000000003</v>
      </c>
      <c r="H118" s="205">
        <f>IF(ISNUMBER(VLOOKUP(LEFT(E118,3),'Material editor'!$D$11:$H$110,'Material editor'!$H$8,0)),VLOOKUP(LEFT(E118,3),'Material editor'!$D$11:$H$110,'Material editor'!$H$8,0),"")</f>
        <v>40</v>
      </c>
      <c r="I118" s="94">
        <v>161</v>
      </c>
      <c r="J118" s="206"/>
      <c r="K118" s="206"/>
      <c r="L118" s="207">
        <f>F118*I118/(1000*1000)*Balance!$H$13/H118</f>
        <v>9.3592544468443979</v>
      </c>
      <c r="M118" s="207">
        <f>G118*I118/(1000*1000)*Balance!$H$13/H118</f>
        <v>1.8668191500000002</v>
      </c>
      <c r="N118" s="207" t="str">
        <f>IF(ISTEXT(VLOOKUP(LEFT(E118,3),'Material editor'!$D$11:$AE$110,'Material editor'!$AE$8,0)),VLOOKUP(LEFT(E118,3),'Material editor'!$D$11:$AE$110,'Material editor'!$AE$8,0),"")</f>
        <v/>
      </c>
      <c r="O118" s="201"/>
      <c r="P118" s="201"/>
      <c r="Q118" s="201"/>
      <c r="R118" s="228"/>
      <c r="S118" s="228"/>
      <c r="T118" s="228"/>
      <c r="U118" s="214"/>
      <c r="V118" s="201"/>
      <c r="W118" s="201"/>
      <c r="X118" s="201"/>
      <c r="Y118" s="201"/>
      <c r="Z118" s="201"/>
      <c r="AA118" s="201"/>
      <c r="AB118" s="201"/>
      <c r="AC118" s="201"/>
      <c r="AD118" s="201"/>
      <c r="AE118" s="201"/>
      <c r="AF118" s="201"/>
      <c r="AG118" s="201"/>
      <c r="AH118" s="201"/>
      <c r="AI118" s="201"/>
      <c r="AJ118" s="201"/>
    </row>
    <row r="119" spans="1:36" hidden="1" outlineLevel="2" x14ac:dyDescent="0.25">
      <c r="A119" s="201"/>
      <c r="B119" s="201"/>
      <c r="C119" s="227"/>
      <c r="D119" s="232" t="s">
        <v>678</v>
      </c>
      <c r="E119" s="204" t="s">
        <v>1045</v>
      </c>
      <c r="F119" s="205">
        <f>IF(ISNUMBER(VLOOKUP(LEFT(E119,3),'Material editor'!$D$11:$H$110,'Material editor'!$F$8,0)),VLOOKUP(LEFT(E119,3),'Material editor'!$D$11:$H$110,'Material editor'!$F$8,0),"")</f>
        <v>31554.72432133375</v>
      </c>
      <c r="G119" s="205">
        <f>IF(ISNUMBER(VLOOKUP(LEFT(E119,3),'Material editor'!$D$11:$H$110,'Material editor'!$G$8,0)),VLOOKUP(LEFT(E119,3),'Material editor'!$D$11:$H$110,'Material editor'!$G$8,0),"")</f>
        <v>7570.5013256411439</v>
      </c>
      <c r="H119" s="205">
        <f>IF(ISNUMBER(VLOOKUP(LEFT(E119,3),'Material editor'!$D$11:$H$110,'Material editor'!$H$8,0)),VLOOKUP(LEFT(E119,3),'Material editor'!$D$11:$H$110,'Material editor'!$H$8,0),"")</f>
        <v>40</v>
      </c>
      <c r="I119" s="94">
        <v>50</v>
      </c>
      <c r="J119" s="206"/>
      <c r="K119" s="206"/>
      <c r="L119" s="207">
        <f>F119*I119/(1000*1000)*Balance!$H$13/H119</f>
        <v>0.78886810803334373</v>
      </c>
      <c r="M119" s="207">
        <f>G119*I119/(1000*1000)*Balance!$H$13/H119</f>
        <v>0.18926253314102859</v>
      </c>
      <c r="N119" s="207" t="str">
        <f>IF(ISTEXT(VLOOKUP(LEFT(E119,3),'Material editor'!$D$11:$AE$110,'Material editor'!$AE$8,0)),VLOOKUP(LEFT(E119,3),'Material editor'!$D$11:$AE$110,'Material editor'!$AE$8,0),"")</f>
        <v/>
      </c>
      <c r="O119" s="201"/>
      <c r="P119" s="201"/>
      <c r="Q119" s="201"/>
      <c r="R119" s="228"/>
      <c r="S119" s="228"/>
      <c r="T119" s="228"/>
      <c r="U119" s="214"/>
      <c r="V119" s="201"/>
      <c r="W119" s="201"/>
      <c r="X119" s="201"/>
      <c r="Y119" s="201"/>
      <c r="Z119" s="201"/>
      <c r="AA119" s="201"/>
      <c r="AB119" s="201"/>
      <c r="AC119" s="201"/>
      <c r="AD119" s="201"/>
      <c r="AE119" s="201"/>
      <c r="AF119" s="201"/>
      <c r="AG119" s="201"/>
      <c r="AH119" s="201"/>
      <c r="AI119" s="201"/>
      <c r="AJ119" s="201"/>
    </row>
    <row r="120" spans="1:36" hidden="1" outlineLevel="2" x14ac:dyDescent="0.25">
      <c r="A120" s="201"/>
      <c r="B120" s="201"/>
      <c r="C120" s="227"/>
      <c r="D120" s="232" t="s">
        <v>727</v>
      </c>
      <c r="E120" s="204" t="s">
        <v>1041</v>
      </c>
      <c r="F120" s="205">
        <f>IF(ISNUMBER(VLOOKUP(LEFT(E120,3),'Material editor'!$D$11:$H$110,'Material editor'!$F$8,0)),VLOOKUP(LEFT(E120,3),'Material editor'!$D$11:$H$110,'Material editor'!$F$8,0),"")</f>
        <v>12876.183614626107</v>
      </c>
      <c r="G120" s="205">
        <f>IF(ISNUMBER(VLOOKUP(LEFT(E120,3),'Material editor'!$D$11:$H$110,'Material editor'!$G$8,0)),VLOOKUP(LEFT(E120,3),'Material editor'!$D$11:$H$110,'Material editor'!$G$8,0),"")</f>
        <v>2121.6494532607658</v>
      </c>
      <c r="H120" s="205">
        <f>IF(ISNUMBER(VLOOKUP(LEFT(E120,3),'Material editor'!$D$11:$H$110,'Material editor'!$H$8,0)),VLOOKUP(LEFT(E120,3),'Material editor'!$D$11:$H$110,'Material editor'!$H$8,0),"")</f>
        <v>40</v>
      </c>
      <c r="I120" s="206"/>
      <c r="J120" s="94">
        <f>434+340+100</f>
        <v>874</v>
      </c>
      <c r="K120" s="79">
        <v>0.15</v>
      </c>
      <c r="L120" s="207">
        <f>(F120*J120/1000*K120/1000)*Balance!$H$13/H120</f>
        <v>0.84403383593874126</v>
      </c>
      <c r="M120" s="207">
        <f>G120*J120/(1000*1000)*Balance!$H$13/H120</f>
        <v>0.92716081107495474</v>
      </c>
      <c r="N120" s="207" t="str">
        <f>IF(ISTEXT(VLOOKUP(LEFT(E120,3),'Material editor'!$D$11:$AE$110,'Material editor'!$AE$8,0)),VLOOKUP(LEFT(E120,3),'Material editor'!$D$11:$AE$110,'Material editor'!$AE$8,0),"")</f>
        <v/>
      </c>
      <c r="O120" s="201"/>
      <c r="P120" s="201"/>
      <c r="Q120" s="201"/>
      <c r="R120" s="228"/>
      <c r="S120" s="228"/>
      <c r="T120" s="228"/>
      <c r="U120" s="214"/>
      <c r="V120" s="201"/>
      <c r="W120" s="201"/>
      <c r="X120" s="201"/>
      <c r="Y120" s="201"/>
      <c r="Z120" s="201"/>
      <c r="AA120" s="201"/>
      <c r="AB120" s="201"/>
      <c r="AC120" s="201"/>
      <c r="AD120" s="201"/>
      <c r="AE120" s="201"/>
      <c r="AF120" s="201"/>
      <c r="AG120" s="201"/>
      <c r="AH120" s="201"/>
      <c r="AI120" s="201"/>
      <c r="AJ120" s="201"/>
    </row>
    <row r="121" spans="1:36" hidden="1" outlineLevel="2" x14ac:dyDescent="0.25">
      <c r="A121" s="201"/>
      <c r="B121" s="201"/>
      <c r="C121" s="227"/>
      <c r="D121" s="232" t="s">
        <v>728</v>
      </c>
      <c r="E121" s="204" t="s">
        <v>1042</v>
      </c>
      <c r="F121" s="205">
        <f>IF(ISNUMBER(VLOOKUP(LEFT(E121,3),'Material editor'!$D$11:$H$110,'Material editor'!$F$8,0)),VLOOKUP(LEFT(E121,3),'Material editor'!$D$11:$H$110,'Material editor'!$F$8,0),"")</f>
        <v>13437.299176949344</v>
      </c>
      <c r="G121" s="205">
        <f>IF(ISNUMBER(VLOOKUP(LEFT(E121,3),'Material editor'!$D$11:$H$110,'Material editor'!$G$8,0)),VLOOKUP(LEFT(E121,3),'Material editor'!$D$11:$H$110,'Material editor'!$G$8,0),"")</f>
        <v>2087.9914411917075</v>
      </c>
      <c r="H121" s="205">
        <f>IF(ISNUMBER(VLOOKUP(LEFT(E121,3),'Material editor'!$D$11:$H$110,'Material editor'!$H$8,0)),VLOOKUP(LEFT(E121,3),'Material editor'!$D$11:$H$110,'Material editor'!$H$8,0),"")</f>
        <v>40</v>
      </c>
      <c r="I121" s="206"/>
      <c r="J121" s="94">
        <f>J120</f>
        <v>874</v>
      </c>
      <c r="K121" s="79">
        <v>0.15</v>
      </c>
      <c r="L121" s="207">
        <f>(F121*J121/1000*K121/1000)*Balance!$H$13/H121</f>
        <v>0.88081496104902945</v>
      </c>
      <c r="M121" s="207">
        <f>G121*J121/(1000*1000)*Balance!$H$13/H121</f>
        <v>0.91245225980077616</v>
      </c>
      <c r="N121" s="207"/>
      <c r="O121" s="201"/>
      <c r="P121" s="201"/>
      <c r="Q121" s="201"/>
      <c r="R121" s="228"/>
      <c r="S121" s="228"/>
      <c r="T121" s="228"/>
      <c r="U121" s="214"/>
      <c r="V121" s="201"/>
      <c r="W121" s="201"/>
      <c r="X121" s="201"/>
      <c r="Y121" s="201"/>
      <c r="Z121" s="201"/>
      <c r="AA121" s="201"/>
      <c r="AB121" s="201"/>
      <c r="AC121" s="201"/>
      <c r="AD121" s="201"/>
      <c r="AE121" s="201"/>
      <c r="AF121" s="201"/>
      <c r="AG121" s="201"/>
      <c r="AH121" s="201"/>
      <c r="AI121" s="201"/>
      <c r="AJ121" s="201"/>
    </row>
    <row r="122" spans="1:36" hidden="1" outlineLevel="2" x14ac:dyDescent="0.25">
      <c r="A122" s="201"/>
      <c r="B122" s="201"/>
      <c r="C122" s="227"/>
      <c r="D122" s="208"/>
      <c r="E122" s="204"/>
      <c r="F122" s="205"/>
      <c r="G122" s="205"/>
      <c r="H122" s="205"/>
      <c r="I122" s="206"/>
      <c r="J122" s="206"/>
      <c r="K122" s="206"/>
      <c r="L122" s="207"/>
      <c r="M122" s="207"/>
      <c r="N122" s="207"/>
      <c r="O122" s="201"/>
      <c r="P122" s="201"/>
      <c r="Q122" s="201"/>
      <c r="R122" s="228"/>
      <c r="S122" s="228"/>
      <c r="T122" s="228"/>
      <c r="U122" s="214"/>
      <c r="V122" s="201"/>
      <c r="W122" s="201"/>
      <c r="X122" s="201"/>
      <c r="Y122" s="201"/>
      <c r="Z122" s="201"/>
      <c r="AA122" s="201"/>
      <c r="AB122" s="201"/>
      <c r="AC122" s="201"/>
      <c r="AD122" s="201"/>
      <c r="AE122" s="201"/>
      <c r="AF122" s="201"/>
      <c r="AG122" s="201"/>
      <c r="AH122" s="201"/>
      <c r="AI122" s="201"/>
      <c r="AJ122" s="201"/>
    </row>
    <row r="123" spans="1:36" hidden="1" outlineLevel="2" x14ac:dyDescent="0.25">
      <c r="A123" s="201"/>
      <c r="B123" s="201"/>
      <c r="C123" s="227"/>
      <c r="D123" s="208"/>
      <c r="E123" s="204"/>
      <c r="F123" s="205"/>
      <c r="G123" s="205"/>
      <c r="H123" s="205"/>
      <c r="I123" s="206"/>
      <c r="J123" s="206"/>
      <c r="K123" s="206"/>
      <c r="L123" s="207"/>
      <c r="M123" s="207"/>
      <c r="N123" s="207"/>
      <c r="O123" s="201"/>
      <c r="P123" s="201"/>
      <c r="Q123" s="201"/>
      <c r="R123" s="228"/>
      <c r="S123" s="228"/>
      <c r="T123" s="228"/>
      <c r="U123" s="214"/>
      <c r="V123" s="201"/>
      <c r="W123" s="201"/>
      <c r="X123" s="201"/>
      <c r="Y123" s="201"/>
      <c r="Z123" s="201"/>
      <c r="AA123" s="201"/>
      <c r="AB123" s="201"/>
      <c r="AC123" s="201"/>
      <c r="AD123" s="201"/>
      <c r="AE123" s="201"/>
      <c r="AF123" s="201"/>
      <c r="AG123" s="201"/>
      <c r="AH123" s="201"/>
      <c r="AI123" s="201"/>
      <c r="AJ123" s="201"/>
    </row>
    <row r="124" spans="1:36" hidden="1" outlineLevel="2" x14ac:dyDescent="0.25">
      <c r="A124" s="201"/>
      <c r="B124" s="201"/>
      <c r="C124" s="227"/>
      <c r="D124" s="208"/>
      <c r="E124" s="204"/>
      <c r="F124" s="205"/>
      <c r="G124" s="205"/>
      <c r="H124" s="205"/>
      <c r="I124" s="206"/>
      <c r="J124" s="206"/>
      <c r="K124" s="206"/>
      <c r="L124" s="207"/>
      <c r="M124" s="207"/>
      <c r="N124" s="207"/>
      <c r="O124" s="201"/>
      <c r="P124" s="201"/>
      <c r="Q124" s="201"/>
      <c r="R124" s="228"/>
      <c r="S124" s="228"/>
      <c r="T124" s="228"/>
      <c r="U124" s="214"/>
      <c r="V124" s="201"/>
      <c r="W124" s="201"/>
      <c r="X124" s="201"/>
      <c r="Y124" s="201"/>
      <c r="Z124" s="201"/>
      <c r="AA124" s="201"/>
      <c r="AB124" s="201"/>
      <c r="AC124" s="201"/>
      <c r="AD124" s="201"/>
      <c r="AE124" s="201"/>
      <c r="AF124" s="201"/>
      <c r="AG124" s="201"/>
      <c r="AH124" s="201"/>
      <c r="AI124" s="201"/>
      <c r="AJ124" s="201"/>
    </row>
    <row r="125" spans="1:36" hidden="1" outlineLevel="2" x14ac:dyDescent="0.25">
      <c r="A125" s="201"/>
      <c r="B125" s="201"/>
      <c r="C125" s="227"/>
      <c r="D125" s="208"/>
      <c r="E125" s="204"/>
      <c r="F125" s="205"/>
      <c r="G125" s="205"/>
      <c r="H125" s="205"/>
      <c r="I125" s="206"/>
      <c r="J125" s="206"/>
      <c r="K125" s="206"/>
      <c r="L125" s="207"/>
      <c r="M125" s="207"/>
      <c r="N125" s="207"/>
      <c r="O125" s="201"/>
      <c r="P125" s="201"/>
      <c r="Q125" s="201"/>
      <c r="R125" s="228"/>
      <c r="S125" s="228"/>
      <c r="T125" s="228"/>
      <c r="U125" s="214"/>
      <c r="V125" s="201"/>
      <c r="W125" s="201"/>
      <c r="X125" s="201"/>
      <c r="Y125" s="201"/>
      <c r="Z125" s="201"/>
      <c r="AA125" s="201"/>
      <c r="AB125" s="201"/>
      <c r="AC125" s="201"/>
      <c r="AD125" s="201"/>
      <c r="AE125" s="201"/>
      <c r="AF125" s="201"/>
      <c r="AG125" s="201"/>
      <c r="AH125" s="201"/>
      <c r="AI125" s="201"/>
      <c r="AJ125" s="201"/>
    </row>
    <row r="126" spans="1:36" hidden="1" outlineLevel="2" x14ac:dyDescent="0.25">
      <c r="A126" s="201"/>
      <c r="B126" s="201"/>
      <c r="C126" s="227"/>
      <c r="D126" s="233"/>
      <c r="E126" s="234"/>
      <c r="F126" s="235" t="s">
        <v>732</v>
      </c>
      <c r="G126" s="235" t="s">
        <v>733</v>
      </c>
      <c r="H126" s="235" t="s">
        <v>734</v>
      </c>
      <c r="I126" s="235"/>
      <c r="J126" s="235" t="s">
        <v>778</v>
      </c>
      <c r="K126" s="235"/>
      <c r="L126" s="203" t="s">
        <v>730</v>
      </c>
      <c r="M126" s="203" t="s">
        <v>731</v>
      </c>
      <c r="N126" s="236"/>
      <c r="O126" s="201"/>
      <c r="P126" s="201"/>
      <c r="Q126" s="201"/>
      <c r="R126" s="228"/>
      <c r="S126" s="228"/>
      <c r="T126" s="228"/>
      <c r="U126" s="214"/>
      <c r="V126" s="201"/>
      <c r="W126" s="201"/>
      <c r="X126" s="201"/>
      <c r="Y126" s="201"/>
      <c r="Z126" s="201"/>
      <c r="AA126" s="201"/>
      <c r="AB126" s="201"/>
      <c r="AC126" s="201"/>
      <c r="AD126" s="201"/>
      <c r="AE126" s="201"/>
      <c r="AF126" s="201"/>
      <c r="AG126" s="201"/>
      <c r="AH126" s="201"/>
      <c r="AI126" s="201"/>
      <c r="AJ126" s="201"/>
    </row>
    <row r="127" spans="1:36" hidden="1" outlineLevel="2" x14ac:dyDescent="0.25">
      <c r="A127" s="201"/>
      <c r="B127" s="201"/>
      <c r="C127" s="227"/>
      <c r="D127" s="213" t="s">
        <v>747</v>
      </c>
      <c r="E127" s="133" t="s">
        <v>748</v>
      </c>
      <c r="F127" s="79">
        <v>1.034</v>
      </c>
      <c r="G127" s="93">
        <v>3.5000000000000003E-2</v>
      </c>
      <c r="H127" s="93">
        <v>9.4E-2</v>
      </c>
      <c r="I127" s="201"/>
      <c r="J127" s="79">
        <v>1.5</v>
      </c>
      <c r="K127" s="228"/>
      <c r="L127" s="237">
        <f>IF(ISNUMBER(J127),J127*SUM(L116:L125),SUM(L116:L125))</f>
        <v>32.081295649680591</v>
      </c>
      <c r="M127" s="237">
        <f>IF(ISNUMBER(J127),J127*SUM(M116:M125),SUM(M116:M125))</f>
        <v>2.6238848518594913</v>
      </c>
      <c r="N127" s="133"/>
      <c r="O127" s="201"/>
      <c r="P127" s="201"/>
      <c r="Q127" s="201"/>
      <c r="R127" s="228"/>
      <c r="S127" s="228"/>
      <c r="T127" s="228"/>
      <c r="U127" s="214"/>
      <c r="V127" s="201"/>
      <c r="W127" s="201"/>
      <c r="X127" s="201"/>
      <c r="Y127" s="201"/>
      <c r="Z127" s="201"/>
      <c r="AA127" s="201"/>
      <c r="AB127" s="201"/>
      <c r="AC127" s="201"/>
      <c r="AD127" s="201"/>
      <c r="AE127" s="201"/>
      <c r="AF127" s="201"/>
      <c r="AG127" s="201"/>
      <c r="AH127" s="201"/>
      <c r="AI127" s="201"/>
      <c r="AJ127" s="201"/>
    </row>
    <row r="128" spans="1:36" hidden="1" outlineLevel="2" x14ac:dyDescent="0.25">
      <c r="B128" s="201"/>
      <c r="C128" s="225"/>
      <c r="D128" s="20"/>
      <c r="E128" s="20"/>
      <c r="F128" s="20"/>
      <c r="G128" s="20"/>
      <c r="H128" s="20"/>
      <c r="I128" s="20"/>
      <c r="J128" s="20"/>
      <c r="K128" s="20"/>
      <c r="L128" s="20"/>
      <c r="M128" s="20"/>
      <c r="N128" s="20"/>
      <c r="O128" s="20"/>
      <c r="P128" s="20"/>
      <c r="Q128" s="20"/>
      <c r="R128" s="20"/>
      <c r="S128" s="20"/>
      <c r="T128" s="20"/>
      <c r="U128" s="19"/>
      <c r="W128" s="201"/>
      <c r="X128" s="201"/>
      <c r="Y128" s="201"/>
      <c r="Z128" s="201"/>
      <c r="AA128" s="201"/>
      <c r="AB128" s="201"/>
      <c r="AC128" s="201"/>
      <c r="AD128" s="201"/>
      <c r="AE128" s="201"/>
      <c r="AF128" s="201"/>
      <c r="AG128" s="201"/>
      <c r="AH128" s="201"/>
      <c r="AI128" s="201"/>
      <c r="AJ128" s="201"/>
    </row>
    <row r="129" spans="1:36" hidden="1" outlineLevel="2" x14ac:dyDescent="0.25">
      <c r="A129" s="201"/>
      <c r="B129" s="201"/>
      <c r="C129" s="227"/>
      <c r="D129" s="228">
        <f>COLUMN()</f>
        <v>4</v>
      </c>
      <c r="E129" s="228">
        <f t="shared" ref="E129:N129" si="83">COLUMN()-$D$28+1</f>
        <v>2</v>
      </c>
      <c r="F129" s="228">
        <f t="shared" si="83"/>
        <v>3</v>
      </c>
      <c r="G129" s="228">
        <f t="shared" si="83"/>
        <v>4</v>
      </c>
      <c r="H129" s="228">
        <f t="shared" si="83"/>
        <v>5</v>
      </c>
      <c r="I129" s="228">
        <f t="shared" si="83"/>
        <v>6</v>
      </c>
      <c r="J129" s="228">
        <f t="shared" si="83"/>
        <v>7</v>
      </c>
      <c r="K129" s="228">
        <f t="shared" si="83"/>
        <v>8</v>
      </c>
      <c r="L129" s="228">
        <f t="shared" si="83"/>
        <v>9</v>
      </c>
      <c r="M129" s="228">
        <f t="shared" si="83"/>
        <v>10</v>
      </c>
      <c r="N129" s="228">
        <f t="shared" si="83"/>
        <v>11</v>
      </c>
      <c r="O129" s="201"/>
      <c r="P129" s="201"/>
      <c r="Q129" s="201"/>
      <c r="R129" s="228"/>
      <c r="S129" s="228"/>
      <c r="T129" s="228"/>
      <c r="U129" s="214"/>
      <c r="V129" s="201"/>
      <c r="W129" s="201"/>
      <c r="X129" s="201"/>
      <c r="Y129" s="201"/>
      <c r="Z129" s="201"/>
      <c r="AA129" s="201"/>
      <c r="AB129" s="201"/>
      <c r="AC129" s="201"/>
      <c r="AD129" s="201"/>
      <c r="AE129" s="201"/>
      <c r="AF129" s="201"/>
      <c r="AG129" s="201"/>
      <c r="AH129" s="201"/>
      <c r="AI129" s="201"/>
      <c r="AJ129" s="201"/>
    </row>
    <row r="130" spans="1:36" ht="22.5" hidden="1" outlineLevel="1" collapsed="1" x14ac:dyDescent="0.25">
      <c r="A130" s="201"/>
      <c r="B130" s="201"/>
      <c r="C130" s="260" t="str">
        <f>D143</f>
        <v>PH Ti-Alu integral with PU insulation</v>
      </c>
      <c r="D130" s="228"/>
      <c r="E130" s="202" t="s">
        <v>82</v>
      </c>
      <c r="F130" s="202" t="str">
        <f>'Material editor'!$F$9</f>
        <v>Manfacturing energy</v>
      </c>
      <c r="G130" s="202" t="s">
        <v>149</v>
      </c>
      <c r="H130" s="202" t="str">
        <f>'Material editor'!$H$9</f>
        <v>Service life</v>
      </c>
      <c r="I130" s="202" t="s">
        <v>671</v>
      </c>
      <c r="J130" s="202" t="s">
        <v>679</v>
      </c>
      <c r="K130" s="202" t="s">
        <v>776</v>
      </c>
      <c r="L130" s="202" t="s">
        <v>143</v>
      </c>
      <c r="M130" s="202" t="s">
        <v>149</v>
      </c>
      <c r="N130" s="202" t="str">
        <f>'Material editor'!$AE$9</f>
        <v>Comment PHI</v>
      </c>
      <c r="O130" s="201"/>
      <c r="P130" s="201"/>
      <c r="Q130" s="201"/>
      <c r="R130" s="228"/>
      <c r="S130" s="228"/>
      <c r="T130" s="228"/>
      <c r="U130" s="214"/>
      <c r="V130" s="201"/>
      <c r="W130" s="201"/>
      <c r="X130" s="201"/>
      <c r="Y130" s="201"/>
      <c r="Z130" s="201"/>
      <c r="AA130" s="201"/>
      <c r="AB130" s="201"/>
      <c r="AC130" s="201"/>
      <c r="AD130" s="201"/>
      <c r="AE130" s="201"/>
      <c r="AF130" s="201"/>
      <c r="AG130" s="201"/>
      <c r="AH130" s="201"/>
      <c r="AI130" s="201"/>
      <c r="AJ130" s="201"/>
    </row>
    <row r="131" spans="1:36" hidden="1" outlineLevel="2" x14ac:dyDescent="0.25">
      <c r="A131" s="201"/>
      <c r="B131" s="201"/>
      <c r="C131" s="227"/>
      <c r="D131" s="228"/>
      <c r="E131" s="228"/>
      <c r="F131" s="203" t="s">
        <v>144</v>
      </c>
      <c r="G131" s="203" t="s">
        <v>148</v>
      </c>
      <c r="H131" s="203" t="s">
        <v>146</v>
      </c>
      <c r="I131" s="203" t="s">
        <v>672</v>
      </c>
      <c r="J131" s="203" t="s">
        <v>344</v>
      </c>
      <c r="K131" s="203" t="s">
        <v>777</v>
      </c>
      <c r="L131" s="203" t="s">
        <v>730</v>
      </c>
      <c r="M131" s="203" t="s">
        <v>731</v>
      </c>
      <c r="N131" s="228"/>
      <c r="O131" s="201"/>
      <c r="P131" s="201"/>
      <c r="Q131" s="201"/>
      <c r="R131" s="228"/>
      <c r="S131" s="228"/>
      <c r="T131" s="228"/>
      <c r="U131" s="214"/>
      <c r="V131" s="201"/>
      <c r="W131" s="201"/>
      <c r="X131" s="201"/>
      <c r="Y131" s="201"/>
      <c r="Z131" s="201"/>
      <c r="AA131" s="201"/>
      <c r="AB131" s="201"/>
      <c r="AC131" s="201"/>
      <c r="AD131" s="201"/>
      <c r="AE131" s="201"/>
      <c r="AF131" s="201"/>
      <c r="AG131" s="201"/>
      <c r="AH131" s="201"/>
      <c r="AI131" s="201"/>
      <c r="AJ131" s="201"/>
    </row>
    <row r="132" spans="1:36" hidden="1" outlineLevel="2" x14ac:dyDescent="0.25">
      <c r="A132" s="201"/>
      <c r="B132" s="201"/>
      <c r="C132" s="227"/>
      <c r="D132" s="232" t="s">
        <v>674</v>
      </c>
      <c r="E132" s="204" t="s">
        <v>670</v>
      </c>
      <c r="F132" s="205">
        <f>IF(ISNUMBER(VLOOKUP(LEFT(E132,3),'Material editor'!$D$11:$H$110,'Material editor'!$F$8,0)),VLOOKUP(LEFT(E132,3),'Material editor'!$D$11:$H$110,'Material editor'!$F$8,0),"")</f>
        <v>1434.0932694222695</v>
      </c>
      <c r="G132" s="205">
        <f>IF(ISNUMBER(VLOOKUP(LEFT(E132,3),'Material editor'!$D$11:$H$110,'Material editor'!$G$8,0)),VLOOKUP(LEFT(E132,3),'Material editor'!$D$11:$H$110,'Material editor'!$G$8,0),"")</f>
        <v>-636.14449532812898</v>
      </c>
      <c r="H132" s="205">
        <f>IF(ISNUMBER(VLOOKUP(LEFT(E132,3),'Material editor'!$D$11:$H$110,'Material editor'!$H$8,0)),VLOOKUP(LEFT(E132,3),'Material editor'!$D$11:$H$110,'Material editor'!$H$8,0),"")</f>
        <v>40</v>
      </c>
      <c r="I132" s="94">
        <f>2815+4490+385</f>
        <v>7690</v>
      </c>
      <c r="J132" s="206"/>
      <c r="K132" s="206"/>
      <c r="L132" s="207">
        <f>F132*I132/(1000*1000)*Balance!$H$13/H132</f>
        <v>5.5140886209286268</v>
      </c>
      <c r="M132" s="207">
        <f>G132*I132/(1000*1000)*Balance!$H$13/H132</f>
        <v>-2.4459755845366558</v>
      </c>
      <c r="N132" s="207" t="str">
        <f>IF(ISTEXT(VLOOKUP(LEFT(E132,3),'Material editor'!$D$11:$AE$110,'Material editor'!$AE$8,0)),VLOOKUP(LEFT(E132,3),'Material editor'!$D$11:$AE$110,'Material editor'!$AE$8,0),"")</f>
        <v/>
      </c>
      <c r="O132" s="201"/>
      <c r="P132" s="201"/>
      <c r="Q132" s="201"/>
      <c r="R132" s="228"/>
      <c r="S132" s="228"/>
      <c r="T132" s="228"/>
      <c r="U132" s="214"/>
      <c r="V132" s="201"/>
      <c r="W132" s="201"/>
      <c r="X132" s="201"/>
      <c r="Y132" s="201"/>
      <c r="Z132" s="201"/>
      <c r="AA132" s="201"/>
      <c r="AB132" s="201"/>
      <c r="AC132" s="201"/>
      <c r="AD132" s="201"/>
      <c r="AE132" s="201"/>
      <c r="AF132" s="201"/>
      <c r="AG132" s="201"/>
      <c r="AH132" s="201"/>
      <c r="AI132" s="201"/>
      <c r="AJ132" s="201"/>
    </row>
    <row r="133" spans="1:36" hidden="1" outlineLevel="2" x14ac:dyDescent="0.25">
      <c r="A133" s="201"/>
      <c r="B133" s="201"/>
      <c r="C133" s="227"/>
      <c r="D133" s="232" t="s">
        <v>746</v>
      </c>
      <c r="E133" s="204" t="s">
        <v>1046</v>
      </c>
      <c r="F133" s="205">
        <f>IF(ISNUMBER(VLOOKUP(LEFT(E133,3),'Material editor'!$D$11:$H$110,'Material editor'!$F$8,0)),VLOOKUP(LEFT(E133,3),'Material editor'!$D$11:$H$110,'Material editor'!$F$8,0),"")</f>
        <v>647.25297961925958</v>
      </c>
      <c r="G133" s="205">
        <f>IF(ISNUMBER(VLOOKUP(LEFT(E133,3),'Material editor'!$D$11:$H$110,'Material editor'!$G$8,0)),VLOOKUP(LEFT(E133,3),'Material editor'!$D$11:$H$110,'Material editor'!$G$8,0),"")</f>
        <v>153.00099181306416</v>
      </c>
      <c r="H133" s="205">
        <f>IF(ISNUMBER(VLOOKUP(LEFT(E133,3),'Material editor'!$D$11:$H$110,'Material editor'!$H$8,0)),VLOOKUP(LEFT(E133,3),'Material editor'!$D$11:$H$110,'Material editor'!$H$8,0),"")</f>
        <v>40</v>
      </c>
      <c r="I133" s="94">
        <v>2587</v>
      </c>
      <c r="J133" s="206"/>
      <c r="K133" s="206"/>
      <c r="L133" s="207">
        <f>F133*I133/(1000*1000)*Balance!$H$13/H133</f>
        <v>0.83722172913751225</v>
      </c>
      <c r="M133" s="207">
        <f>G133*I133/(1000*1000)*Balance!$H$13/H133</f>
        <v>0.1979067829101985</v>
      </c>
      <c r="N133" s="207" t="str">
        <f>IF(ISTEXT(VLOOKUP(LEFT(E133,3),'Material editor'!$D$11:$AE$110,'Material editor'!$AE$8,0)),VLOOKUP(LEFT(E133,3),'Material editor'!$D$11:$AE$110,'Material editor'!$AE$8,0),"")</f>
        <v/>
      </c>
      <c r="O133" s="201"/>
      <c r="P133" s="201"/>
      <c r="Q133" s="201"/>
      <c r="R133" s="228"/>
      <c r="S133" s="228"/>
      <c r="T133" s="228"/>
      <c r="U133" s="214"/>
      <c r="V133" s="201"/>
      <c r="W133" s="201"/>
      <c r="X133" s="201"/>
      <c r="Y133" s="201"/>
      <c r="Z133" s="201"/>
      <c r="AA133" s="201"/>
      <c r="AB133" s="201"/>
      <c r="AC133" s="201"/>
      <c r="AD133" s="201"/>
      <c r="AE133" s="201"/>
      <c r="AF133" s="201"/>
      <c r="AG133" s="201"/>
      <c r="AH133" s="201"/>
      <c r="AI133" s="201"/>
      <c r="AJ133" s="201"/>
    </row>
    <row r="134" spans="1:36" hidden="1" outlineLevel="2" x14ac:dyDescent="0.25">
      <c r="A134" s="201"/>
      <c r="B134" s="201"/>
      <c r="C134" s="227"/>
      <c r="D134" s="232" t="s">
        <v>682</v>
      </c>
      <c r="E134" s="204" t="s">
        <v>683</v>
      </c>
      <c r="F134" s="205">
        <f>IF(ISNUMBER(VLOOKUP(LEFT(E134,3),'Material editor'!$D$11:$H$110,'Material editor'!$F$8,0)),VLOOKUP(LEFT(E134,3),'Material editor'!$D$11:$H$110,'Material editor'!$F$8,0),"")</f>
        <v>8577.8982058033398</v>
      </c>
      <c r="G134" s="205">
        <f>IF(ISNUMBER(VLOOKUP(LEFT(E134,3),'Material editor'!$D$11:$H$110,'Material editor'!$G$8,0)),VLOOKUP(LEFT(E134,3),'Material editor'!$D$11:$H$110,'Material editor'!$G$8,0),"")</f>
        <v>1740.6610483823918</v>
      </c>
      <c r="H134" s="205">
        <f>IF(ISNUMBER(VLOOKUP(LEFT(E134,3),'Material editor'!$D$11:$H$110,'Material editor'!$H$8,0)),VLOOKUP(LEFT(E134,3),'Material editor'!$D$11:$H$110,'Material editor'!$H$8,0),"")</f>
        <v>20</v>
      </c>
      <c r="I134" s="94">
        <f>70+80+85+45+40+40+14</f>
        <v>374</v>
      </c>
      <c r="J134" s="206"/>
      <c r="K134" s="206"/>
      <c r="L134" s="207">
        <f>F134*I134/(1000*1000)*Balance!$H$13/H134</f>
        <v>3.2081339289704487</v>
      </c>
      <c r="M134" s="207">
        <f>G134*I134/(1000*1000)*Balance!$H$13/H134</f>
        <v>0.65100723209501454</v>
      </c>
      <c r="N134" s="207" t="str">
        <f>IF(ISTEXT(VLOOKUP(LEFT(E134,3),'Material editor'!$D$11:$AE$110,'Material editor'!$AE$8,0)),VLOOKUP(LEFT(E134,3),'Material editor'!$D$11:$AE$110,'Material editor'!$AE$8,0),"")</f>
        <v/>
      </c>
      <c r="O134" s="201"/>
      <c r="P134" s="201"/>
      <c r="Q134" s="201"/>
      <c r="R134" s="228"/>
      <c r="S134" s="228"/>
      <c r="T134" s="228"/>
      <c r="U134" s="214"/>
      <c r="V134" s="201"/>
      <c r="W134" s="201"/>
      <c r="X134" s="201"/>
      <c r="Y134" s="201"/>
      <c r="Z134" s="201"/>
      <c r="AA134" s="201"/>
      <c r="AB134" s="201"/>
      <c r="AC134" s="201"/>
      <c r="AD134" s="201"/>
      <c r="AE134" s="201"/>
      <c r="AF134" s="201"/>
      <c r="AG134" s="201"/>
      <c r="AH134" s="201"/>
      <c r="AI134" s="201"/>
      <c r="AJ134" s="201"/>
    </row>
    <row r="135" spans="1:36" hidden="1" outlineLevel="2" x14ac:dyDescent="0.25">
      <c r="A135" s="201"/>
      <c r="B135" s="201"/>
      <c r="C135" s="227"/>
      <c r="D135" s="232" t="s">
        <v>758</v>
      </c>
      <c r="E135" s="204" t="s">
        <v>1047</v>
      </c>
      <c r="F135" s="205">
        <f>IF(ISNUMBER(VLOOKUP(LEFT(E135,3),'Material editor'!$D$11:$H$110,'Material editor'!$F$8,0)),VLOOKUP(LEFT(E135,3),'Material editor'!$D$11:$H$110,'Material editor'!$F$8,0),"")</f>
        <v>116264.03039558257</v>
      </c>
      <c r="G135" s="205">
        <f>IF(ISNUMBER(VLOOKUP(LEFT(E135,3),'Material editor'!$D$11:$H$110,'Material editor'!$G$8,0)),VLOOKUP(LEFT(E135,3),'Material editor'!$D$11:$H$110,'Material editor'!$G$8,0),"")</f>
        <v>23190.300000000003</v>
      </c>
      <c r="H135" s="205">
        <f>IF(ISNUMBER(VLOOKUP(LEFT(E135,3),'Material editor'!$D$11:$H$110,'Material editor'!$H$8,0)),VLOOKUP(LEFT(E135,3),'Material editor'!$D$11:$H$110,'Material editor'!$H$8,0),"")</f>
        <v>40</v>
      </c>
      <c r="I135" s="94">
        <v>161</v>
      </c>
      <c r="J135" s="206"/>
      <c r="K135" s="206"/>
      <c r="L135" s="207">
        <f>F135*I135/(1000*1000)*Balance!$H$13/H135</f>
        <v>9.3592544468443979</v>
      </c>
      <c r="M135" s="207">
        <f>G135*I135/(1000*1000)*Balance!$H$13/H135</f>
        <v>1.8668191500000002</v>
      </c>
      <c r="N135" s="207" t="str">
        <f>IF(ISTEXT(VLOOKUP(LEFT(E135,3),'Material editor'!$D$11:$AE$110,'Material editor'!$AE$8,0)),VLOOKUP(LEFT(E135,3),'Material editor'!$D$11:$AE$110,'Material editor'!$AE$8,0),"")</f>
        <v/>
      </c>
      <c r="O135" s="201"/>
      <c r="P135" s="201"/>
      <c r="Q135" s="201"/>
      <c r="R135" s="228"/>
      <c r="S135" s="228"/>
      <c r="T135" s="228"/>
      <c r="U135" s="214"/>
      <c r="V135" s="201"/>
      <c r="W135" s="201"/>
      <c r="X135" s="201"/>
      <c r="Y135" s="201"/>
      <c r="Z135" s="201"/>
      <c r="AA135" s="201"/>
      <c r="AB135" s="201"/>
      <c r="AC135" s="201"/>
      <c r="AD135" s="201"/>
      <c r="AE135" s="201"/>
      <c r="AF135" s="201"/>
      <c r="AG135" s="201"/>
      <c r="AH135" s="201"/>
      <c r="AI135" s="201"/>
      <c r="AJ135" s="201"/>
    </row>
    <row r="136" spans="1:36" hidden="1" outlineLevel="2" x14ac:dyDescent="0.25">
      <c r="A136" s="201"/>
      <c r="B136" s="201"/>
      <c r="C136" s="227"/>
      <c r="D136" s="232" t="s">
        <v>678</v>
      </c>
      <c r="E136" s="204" t="s">
        <v>1045</v>
      </c>
      <c r="F136" s="205">
        <f>IF(ISNUMBER(VLOOKUP(LEFT(E136,3),'Material editor'!$D$11:$H$110,'Material editor'!$F$8,0)),VLOOKUP(LEFT(E136,3),'Material editor'!$D$11:$H$110,'Material editor'!$F$8,0),"")</f>
        <v>31554.72432133375</v>
      </c>
      <c r="G136" s="205">
        <f>IF(ISNUMBER(VLOOKUP(LEFT(E136,3),'Material editor'!$D$11:$H$110,'Material editor'!$G$8,0)),VLOOKUP(LEFT(E136,3),'Material editor'!$D$11:$H$110,'Material editor'!$G$8,0),"")</f>
        <v>7570.5013256411439</v>
      </c>
      <c r="H136" s="205">
        <f>IF(ISNUMBER(VLOOKUP(LEFT(E136,3),'Material editor'!$D$11:$H$110,'Material editor'!$H$8,0)),VLOOKUP(LEFT(E136,3),'Material editor'!$D$11:$H$110,'Material editor'!$H$8,0),"")</f>
        <v>40</v>
      </c>
      <c r="I136" s="94">
        <v>50</v>
      </c>
      <c r="J136" s="206"/>
      <c r="K136" s="206"/>
      <c r="L136" s="207">
        <f>F136*I136/(1000*1000)*Balance!$H$13/H136</f>
        <v>0.78886810803334373</v>
      </c>
      <c r="M136" s="207">
        <f>G136*I136/(1000*1000)*Balance!$H$13/H136</f>
        <v>0.18926253314102859</v>
      </c>
      <c r="N136" s="207" t="str">
        <f>IF(ISTEXT(VLOOKUP(LEFT(E136,3),'Material editor'!$D$11:$AE$110,'Material editor'!$AE$8,0)),VLOOKUP(LEFT(E136,3),'Material editor'!$D$11:$AE$110,'Material editor'!$AE$8,0),"")</f>
        <v/>
      </c>
      <c r="O136" s="201"/>
      <c r="P136" s="201"/>
      <c r="Q136" s="201"/>
      <c r="R136" s="228"/>
      <c r="S136" s="228"/>
      <c r="T136" s="228"/>
      <c r="U136" s="214"/>
      <c r="V136" s="201"/>
      <c r="W136" s="201"/>
      <c r="X136" s="201"/>
      <c r="Y136" s="201"/>
      <c r="Z136" s="201"/>
      <c r="AA136" s="201"/>
      <c r="AB136" s="201"/>
      <c r="AC136" s="201"/>
      <c r="AD136" s="201"/>
      <c r="AE136" s="201"/>
      <c r="AF136" s="201"/>
      <c r="AG136" s="201"/>
      <c r="AH136" s="201"/>
      <c r="AI136" s="201"/>
      <c r="AJ136" s="201"/>
    </row>
    <row r="137" spans="1:36" hidden="1" outlineLevel="2" x14ac:dyDescent="0.25">
      <c r="A137" s="201"/>
      <c r="B137" s="201"/>
      <c r="C137" s="227"/>
      <c r="D137" s="232" t="s">
        <v>727</v>
      </c>
      <c r="E137" s="204" t="s">
        <v>1041</v>
      </c>
      <c r="F137" s="205">
        <f>IF(ISNUMBER(VLOOKUP(LEFT(E137,3),'Material editor'!$D$11:$H$110,'Material editor'!$F$8,0)),VLOOKUP(LEFT(E137,3),'Material editor'!$D$11:$H$110,'Material editor'!$F$8,0),"")</f>
        <v>12876.183614626107</v>
      </c>
      <c r="G137" s="205">
        <f>IF(ISNUMBER(VLOOKUP(LEFT(E137,3),'Material editor'!$D$11:$H$110,'Material editor'!$G$8,0)),VLOOKUP(LEFT(E137,3),'Material editor'!$D$11:$H$110,'Material editor'!$G$8,0),"")</f>
        <v>2121.6494532607658</v>
      </c>
      <c r="H137" s="205">
        <f>IF(ISNUMBER(VLOOKUP(LEFT(E137,3),'Material editor'!$D$11:$H$110,'Material editor'!$H$8,0)),VLOOKUP(LEFT(E137,3),'Material editor'!$D$11:$H$110,'Material editor'!$H$8,0),"")</f>
        <v>40</v>
      </c>
      <c r="I137" s="206"/>
      <c r="J137" s="94">
        <f>295+320+145</f>
        <v>760</v>
      </c>
      <c r="K137" s="79">
        <v>0.15</v>
      </c>
      <c r="L137" s="207">
        <f>(F137*J137/1000*K137/1000)*Balance!$H$13/H137</f>
        <v>0.73394246603368807</v>
      </c>
      <c r="M137" s="207">
        <f>G137*J137/(1000*1000)*Balance!$H$13/H137</f>
        <v>0.80622679223909111</v>
      </c>
      <c r="N137" s="207"/>
      <c r="O137" s="201"/>
      <c r="P137" s="201"/>
      <c r="Q137" s="201"/>
      <c r="R137" s="228"/>
      <c r="S137" s="228"/>
      <c r="T137" s="228"/>
      <c r="U137" s="214"/>
      <c r="V137" s="201"/>
      <c r="W137" s="201"/>
      <c r="X137" s="201"/>
      <c r="Y137" s="201"/>
      <c r="Z137" s="201"/>
      <c r="AA137" s="201"/>
      <c r="AB137" s="201"/>
      <c r="AC137" s="201"/>
      <c r="AD137" s="201"/>
      <c r="AE137" s="201"/>
      <c r="AF137" s="201"/>
      <c r="AG137" s="201"/>
      <c r="AH137" s="201"/>
      <c r="AI137" s="201"/>
      <c r="AJ137" s="201"/>
    </row>
    <row r="138" spans="1:36" hidden="1" outlineLevel="2" x14ac:dyDescent="0.25">
      <c r="A138" s="201"/>
      <c r="B138" s="201"/>
      <c r="C138" s="227"/>
      <c r="D138" s="232" t="s">
        <v>728</v>
      </c>
      <c r="E138" s="204" t="s">
        <v>1042</v>
      </c>
      <c r="F138" s="205">
        <f>IF(ISNUMBER(VLOOKUP(LEFT(E138,3),'Material editor'!$D$11:$H$110,'Material editor'!$F$8,0)),VLOOKUP(LEFT(E138,3),'Material editor'!$D$11:$H$110,'Material editor'!$F$8,0),"")</f>
        <v>13437.299176949344</v>
      </c>
      <c r="G138" s="205">
        <f>IF(ISNUMBER(VLOOKUP(LEFT(E138,3),'Material editor'!$D$11:$H$110,'Material editor'!$G$8,0)),VLOOKUP(LEFT(E138,3),'Material editor'!$D$11:$H$110,'Material editor'!$G$8,0),"")</f>
        <v>2087.9914411917075</v>
      </c>
      <c r="H138" s="205">
        <f>IF(ISNUMBER(VLOOKUP(LEFT(E138,3),'Material editor'!$D$11:$H$110,'Material editor'!$H$8,0)),VLOOKUP(LEFT(E138,3),'Material editor'!$D$11:$H$110,'Material editor'!$H$8,0),"")</f>
        <v>40</v>
      </c>
      <c r="I138" s="206"/>
      <c r="J138" s="94">
        <f>J137</f>
        <v>760</v>
      </c>
      <c r="K138" s="79">
        <v>0.15</v>
      </c>
      <c r="L138" s="207">
        <f>(F138*J138/1000*K138/1000)*Balance!$H$13/H138</f>
        <v>0.76592605308611261</v>
      </c>
      <c r="M138" s="207">
        <f>G138*J138/(1000*1000)*Balance!$H$13/H138</f>
        <v>0.79343674765284888</v>
      </c>
      <c r="N138" s="207"/>
      <c r="O138" s="201"/>
      <c r="P138" s="201"/>
      <c r="Q138" s="201"/>
      <c r="R138" s="228"/>
      <c r="S138" s="228"/>
      <c r="T138" s="228"/>
      <c r="U138" s="214"/>
      <c r="V138" s="201"/>
      <c r="W138" s="201"/>
      <c r="X138" s="201"/>
      <c r="Y138" s="201"/>
      <c r="Z138" s="201"/>
      <c r="AA138" s="201"/>
      <c r="AB138" s="201"/>
      <c r="AC138" s="201"/>
      <c r="AD138" s="201"/>
      <c r="AE138" s="201"/>
      <c r="AF138" s="201"/>
      <c r="AG138" s="201"/>
      <c r="AH138" s="201"/>
      <c r="AI138" s="201"/>
      <c r="AJ138" s="201"/>
    </row>
    <row r="139" spans="1:36" hidden="1" outlineLevel="2" x14ac:dyDescent="0.25">
      <c r="A139" s="201"/>
      <c r="B139" s="201"/>
      <c r="C139" s="227"/>
      <c r="D139" s="208"/>
      <c r="E139" s="204"/>
      <c r="F139" s="205"/>
      <c r="G139" s="205"/>
      <c r="H139" s="205"/>
      <c r="I139" s="206"/>
      <c r="J139" s="206"/>
      <c r="K139" s="206"/>
      <c r="L139" s="207"/>
      <c r="M139" s="207"/>
      <c r="N139" s="207"/>
      <c r="O139" s="201"/>
      <c r="P139" s="201"/>
      <c r="Q139" s="201"/>
      <c r="R139" s="228"/>
      <c r="S139" s="228"/>
      <c r="T139" s="228"/>
      <c r="U139" s="214"/>
      <c r="V139" s="201"/>
      <c r="W139" s="201"/>
      <c r="X139" s="201"/>
      <c r="Y139" s="201"/>
      <c r="Z139" s="201"/>
      <c r="AA139" s="201"/>
      <c r="AB139" s="201"/>
      <c r="AC139" s="201"/>
      <c r="AD139" s="201"/>
      <c r="AE139" s="201"/>
      <c r="AF139" s="201"/>
      <c r="AG139" s="201"/>
      <c r="AH139" s="201"/>
      <c r="AI139" s="201"/>
      <c r="AJ139" s="201"/>
    </row>
    <row r="140" spans="1:36" hidden="1" outlineLevel="2" x14ac:dyDescent="0.25">
      <c r="A140" s="201"/>
      <c r="B140" s="201"/>
      <c r="C140" s="227"/>
      <c r="D140" s="208"/>
      <c r="E140" s="204"/>
      <c r="F140" s="205"/>
      <c r="G140" s="205"/>
      <c r="H140" s="205"/>
      <c r="I140" s="206"/>
      <c r="J140" s="206"/>
      <c r="K140" s="206"/>
      <c r="L140" s="207"/>
      <c r="M140" s="207"/>
      <c r="N140" s="207"/>
      <c r="O140" s="201"/>
      <c r="P140" s="201"/>
      <c r="Q140" s="201"/>
      <c r="R140" s="228"/>
      <c r="S140" s="228"/>
      <c r="T140" s="228"/>
      <c r="U140" s="214"/>
      <c r="V140" s="201"/>
      <c r="W140" s="201"/>
      <c r="X140" s="201"/>
      <c r="Y140" s="201"/>
      <c r="Z140" s="201"/>
      <c r="AA140" s="201"/>
      <c r="AB140" s="201"/>
      <c r="AC140" s="201"/>
      <c r="AD140" s="201"/>
      <c r="AE140" s="201"/>
      <c r="AF140" s="201"/>
      <c r="AG140" s="201"/>
      <c r="AH140" s="201"/>
      <c r="AI140" s="201"/>
      <c r="AJ140" s="201"/>
    </row>
    <row r="141" spans="1:36" hidden="1" outlineLevel="2" x14ac:dyDescent="0.25">
      <c r="A141" s="201"/>
      <c r="B141" s="201"/>
      <c r="C141" s="227"/>
      <c r="D141" s="208"/>
      <c r="E141" s="204"/>
      <c r="F141" s="205"/>
      <c r="G141" s="205"/>
      <c r="H141" s="205"/>
      <c r="I141" s="206"/>
      <c r="J141" s="206"/>
      <c r="K141" s="206"/>
      <c r="L141" s="207"/>
      <c r="M141" s="207"/>
      <c r="N141" s="207"/>
      <c r="O141" s="201"/>
      <c r="P141" s="201"/>
      <c r="Q141" s="201"/>
      <c r="R141" s="228"/>
      <c r="S141" s="228"/>
      <c r="T141" s="228"/>
      <c r="U141" s="214"/>
      <c r="V141" s="201"/>
      <c r="W141" s="201"/>
      <c r="X141" s="201"/>
      <c r="Y141" s="201"/>
      <c r="Z141" s="201"/>
      <c r="AA141" s="201"/>
      <c r="AB141" s="201"/>
      <c r="AC141" s="201"/>
      <c r="AD141" s="201"/>
      <c r="AE141" s="201"/>
      <c r="AF141" s="201"/>
      <c r="AG141" s="201"/>
      <c r="AH141" s="201"/>
      <c r="AI141" s="201"/>
      <c r="AJ141" s="201"/>
    </row>
    <row r="142" spans="1:36" hidden="1" outlineLevel="2" x14ac:dyDescent="0.25">
      <c r="A142" s="201"/>
      <c r="B142" s="201"/>
      <c r="C142" s="227"/>
      <c r="D142" s="233"/>
      <c r="E142" s="234"/>
      <c r="F142" s="235" t="s">
        <v>732</v>
      </c>
      <c r="G142" s="235" t="s">
        <v>733</v>
      </c>
      <c r="H142" s="235" t="s">
        <v>734</v>
      </c>
      <c r="I142" s="235"/>
      <c r="J142" s="235" t="s">
        <v>778</v>
      </c>
      <c r="K142" s="235"/>
      <c r="L142" s="203" t="s">
        <v>730</v>
      </c>
      <c r="M142" s="203" t="s">
        <v>731</v>
      </c>
      <c r="N142" s="236"/>
      <c r="O142" s="201"/>
      <c r="P142" s="201"/>
      <c r="Q142" s="201"/>
      <c r="R142" s="228"/>
      <c r="S142" s="228"/>
      <c r="T142" s="228"/>
      <c r="U142" s="214"/>
      <c r="V142" s="201"/>
      <c r="W142" s="201"/>
      <c r="X142" s="201"/>
      <c r="Y142" s="201"/>
      <c r="Z142" s="201"/>
      <c r="AA142" s="201"/>
      <c r="AB142" s="201"/>
      <c r="AC142" s="201"/>
      <c r="AD142" s="201"/>
      <c r="AE142" s="201"/>
      <c r="AF142" s="201"/>
      <c r="AG142" s="201"/>
      <c r="AH142" s="201"/>
      <c r="AI142" s="201"/>
      <c r="AJ142" s="201"/>
    </row>
    <row r="143" spans="1:36" hidden="1" outlineLevel="2" x14ac:dyDescent="0.25">
      <c r="A143" s="201"/>
      <c r="B143" s="201"/>
      <c r="C143" s="227"/>
      <c r="D143" s="213" t="s">
        <v>759</v>
      </c>
      <c r="E143" s="133" t="s">
        <v>779</v>
      </c>
      <c r="F143" s="79">
        <v>0.73</v>
      </c>
      <c r="G143" s="93">
        <v>3.1E-2</v>
      </c>
      <c r="H143" s="93">
        <v>9.4E-2</v>
      </c>
      <c r="I143" s="201"/>
      <c r="J143" s="79">
        <v>1.5</v>
      </c>
      <c r="K143" s="228"/>
      <c r="L143" s="237">
        <f>IF(ISNUMBER(J143),J143*SUM(L132:L141),SUM(L132:L141))</f>
        <v>31.8111530295512</v>
      </c>
      <c r="M143" s="237">
        <f>IF(ISNUMBER(J143),J143*SUM(M132:M141),SUM(M132:M141))</f>
        <v>3.0880254802522891</v>
      </c>
      <c r="N143" s="133"/>
      <c r="O143" s="201"/>
      <c r="P143" s="201"/>
      <c r="Q143" s="201"/>
      <c r="R143" s="228"/>
      <c r="S143" s="228"/>
      <c r="T143" s="228"/>
      <c r="U143" s="214"/>
      <c r="V143" s="201"/>
      <c r="W143" s="201"/>
      <c r="X143" s="201"/>
      <c r="Y143" s="201"/>
      <c r="Z143" s="201"/>
      <c r="AA143" s="201"/>
      <c r="AB143" s="201"/>
      <c r="AC143" s="201"/>
      <c r="AD143" s="201"/>
      <c r="AE143" s="201"/>
      <c r="AF143" s="201"/>
      <c r="AG143" s="201"/>
      <c r="AH143" s="201"/>
      <c r="AI143" s="201"/>
      <c r="AJ143" s="201"/>
    </row>
    <row r="144" spans="1:36" hidden="1" outlineLevel="2" x14ac:dyDescent="0.25">
      <c r="B144" s="201"/>
      <c r="C144" s="225"/>
      <c r="D144" s="20"/>
      <c r="E144" s="20"/>
      <c r="F144" s="20"/>
      <c r="G144" s="20"/>
      <c r="H144" s="20"/>
      <c r="I144" s="20"/>
      <c r="J144" s="20"/>
      <c r="K144" s="20"/>
      <c r="L144" s="20"/>
      <c r="M144" s="20"/>
      <c r="N144" s="20"/>
      <c r="O144" s="20"/>
      <c r="P144" s="20"/>
      <c r="Q144" s="20"/>
      <c r="R144" s="20"/>
      <c r="S144" s="20"/>
      <c r="T144" s="20"/>
      <c r="U144" s="19"/>
      <c r="W144" s="201"/>
      <c r="X144" s="201"/>
      <c r="Y144" s="201"/>
      <c r="Z144" s="201"/>
      <c r="AA144" s="201"/>
      <c r="AB144" s="201"/>
      <c r="AC144" s="201"/>
      <c r="AD144" s="201"/>
      <c r="AE144" s="201"/>
      <c r="AF144" s="201"/>
      <c r="AG144" s="201"/>
      <c r="AH144" s="201"/>
      <c r="AI144" s="201"/>
      <c r="AJ144" s="201"/>
    </row>
    <row r="145" spans="1:36" hidden="1" outlineLevel="2" x14ac:dyDescent="0.25">
      <c r="A145" s="201"/>
      <c r="B145" s="201"/>
      <c r="C145" s="227"/>
      <c r="D145" s="228">
        <f>COLUMN()</f>
        <v>4</v>
      </c>
      <c r="E145" s="228">
        <f t="shared" ref="E145:N145" si="84">COLUMN()-$D$28+1</f>
        <v>2</v>
      </c>
      <c r="F145" s="228">
        <f t="shared" si="84"/>
        <v>3</v>
      </c>
      <c r="G145" s="228">
        <f t="shared" si="84"/>
        <v>4</v>
      </c>
      <c r="H145" s="228">
        <f t="shared" si="84"/>
        <v>5</v>
      </c>
      <c r="I145" s="228">
        <f t="shared" si="84"/>
        <v>6</v>
      </c>
      <c r="J145" s="228">
        <f t="shared" si="84"/>
        <v>7</v>
      </c>
      <c r="K145" s="228">
        <f t="shared" si="84"/>
        <v>8</v>
      </c>
      <c r="L145" s="228">
        <f t="shared" si="84"/>
        <v>9</v>
      </c>
      <c r="M145" s="228">
        <f t="shared" si="84"/>
        <v>10</v>
      </c>
      <c r="N145" s="228">
        <f t="shared" si="84"/>
        <v>11</v>
      </c>
      <c r="O145" s="201"/>
      <c r="P145" s="201"/>
      <c r="Q145" s="201"/>
      <c r="R145" s="228"/>
      <c r="S145" s="228"/>
      <c r="T145" s="228"/>
      <c r="U145" s="214"/>
      <c r="V145" s="201"/>
      <c r="W145" s="201"/>
      <c r="X145" s="201"/>
      <c r="Y145" s="201"/>
      <c r="Z145" s="201"/>
      <c r="AA145" s="201"/>
      <c r="AB145" s="201"/>
      <c r="AC145" s="201"/>
      <c r="AD145" s="201"/>
      <c r="AE145" s="201"/>
      <c r="AF145" s="201"/>
      <c r="AG145" s="201"/>
      <c r="AH145" s="201"/>
      <c r="AI145" s="201"/>
      <c r="AJ145" s="201"/>
    </row>
    <row r="146" spans="1:36" ht="22.5" hidden="1" outlineLevel="1" collapsed="1" x14ac:dyDescent="0.25">
      <c r="A146" s="201"/>
      <c r="B146" s="201"/>
      <c r="C146" s="260" t="str">
        <f>D159</f>
        <v>Ti-Alu</v>
      </c>
      <c r="D146" s="228"/>
      <c r="E146" s="202" t="s">
        <v>82</v>
      </c>
      <c r="F146" s="202" t="str">
        <f>'Material editor'!$F$9</f>
        <v>Manfacturing energy</v>
      </c>
      <c r="G146" s="202" t="s">
        <v>149</v>
      </c>
      <c r="H146" s="202" t="str">
        <f>'Material editor'!$H$9</f>
        <v>Service life</v>
      </c>
      <c r="I146" s="202" t="s">
        <v>671</v>
      </c>
      <c r="J146" s="202" t="s">
        <v>679</v>
      </c>
      <c r="K146" s="202" t="s">
        <v>776</v>
      </c>
      <c r="L146" s="202" t="s">
        <v>143</v>
      </c>
      <c r="M146" s="202" t="s">
        <v>149</v>
      </c>
      <c r="N146" s="202" t="str">
        <f>'Material editor'!$AE$9</f>
        <v>Comment PHI</v>
      </c>
      <c r="O146" s="201"/>
      <c r="P146" s="201"/>
      <c r="Q146" s="201"/>
      <c r="R146" s="228"/>
      <c r="S146" s="228"/>
      <c r="T146" s="228"/>
      <c r="U146" s="214"/>
      <c r="V146" s="201"/>
      <c r="W146" s="201"/>
      <c r="X146" s="201"/>
      <c r="Y146" s="201"/>
      <c r="Z146" s="201"/>
      <c r="AA146" s="201"/>
      <c r="AB146" s="201"/>
      <c r="AC146" s="201"/>
      <c r="AD146" s="201"/>
      <c r="AE146" s="201"/>
      <c r="AF146" s="201"/>
      <c r="AG146" s="201"/>
      <c r="AH146" s="201"/>
      <c r="AI146" s="201"/>
      <c r="AJ146" s="201"/>
    </row>
    <row r="147" spans="1:36" hidden="1" outlineLevel="2" x14ac:dyDescent="0.25">
      <c r="A147" s="201"/>
      <c r="B147" s="201"/>
      <c r="C147" s="227"/>
      <c r="D147" s="228"/>
      <c r="E147" s="228"/>
      <c r="F147" s="203" t="s">
        <v>144</v>
      </c>
      <c r="G147" s="203" t="s">
        <v>148</v>
      </c>
      <c r="H147" s="203" t="s">
        <v>146</v>
      </c>
      <c r="I147" s="203" t="s">
        <v>672</v>
      </c>
      <c r="J147" s="203" t="s">
        <v>344</v>
      </c>
      <c r="K147" s="203" t="s">
        <v>777</v>
      </c>
      <c r="L147" s="203" t="s">
        <v>730</v>
      </c>
      <c r="M147" s="203" t="s">
        <v>731</v>
      </c>
      <c r="N147" s="228"/>
      <c r="O147" s="201"/>
      <c r="P147" s="201"/>
      <c r="Q147" s="201"/>
      <c r="R147" s="228"/>
      <c r="S147" s="228"/>
      <c r="T147" s="228"/>
      <c r="U147" s="214"/>
      <c r="V147" s="201"/>
      <c r="W147" s="201"/>
      <c r="X147" s="201"/>
      <c r="Y147" s="201"/>
      <c r="Z147" s="201"/>
      <c r="AA147" s="201"/>
      <c r="AB147" s="201"/>
      <c r="AC147" s="201"/>
      <c r="AD147" s="201"/>
      <c r="AE147" s="201"/>
      <c r="AF147" s="201"/>
      <c r="AG147" s="201"/>
      <c r="AH147" s="201"/>
      <c r="AI147" s="201"/>
      <c r="AJ147" s="201"/>
    </row>
    <row r="148" spans="1:36" hidden="1" outlineLevel="2" x14ac:dyDescent="0.25">
      <c r="A148" s="201"/>
      <c r="B148" s="201"/>
      <c r="C148" s="227"/>
      <c r="D148" s="232" t="s">
        <v>674</v>
      </c>
      <c r="E148" s="204" t="s">
        <v>670</v>
      </c>
      <c r="F148" s="205">
        <f>IF(ISNUMBER(VLOOKUP(LEFT(E148,3),'Material editor'!$D$11:$H$110,'Material editor'!$F$8,0)),VLOOKUP(LEFT(E148,3),'Material editor'!$D$11:$H$110,'Material editor'!$F$8,0),"")</f>
        <v>1434.0932694222695</v>
      </c>
      <c r="G148" s="205">
        <f>IF(ISNUMBER(VLOOKUP(LEFT(E148,3),'Material editor'!$D$11:$H$110,'Material editor'!$G$8,0)),VLOOKUP(LEFT(E148,3),'Material editor'!$D$11:$H$110,'Material editor'!$G$8,0),"")</f>
        <v>-636.14449532812898</v>
      </c>
      <c r="H148" s="205">
        <f>IF(ISNUMBER(VLOOKUP(LEFT(E148,3),'Material editor'!$D$11:$H$110,'Material editor'!$H$8,0)),VLOOKUP(LEFT(E148,3),'Material editor'!$D$11:$H$110,'Material editor'!$H$8,0),"")</f>
        <v>40</v>
      </c>
      <c r="I148" s="94">
        <v>8872</v>
      </c>
      <c r="J148" s="206"/>
      <c r="K148" s="206"/>
      <c r="L148" s="207">
        <f>F148*I148/(1000*1000)*Balance!$H$13/H148</f>
        <v>6.3616377431571873</v>
      </c>
      <c r="M148" s="207">
        <f>G148*I148/(1000*1000)*Balance!$H$13/H148</f>
        <v>-2.8219369812755803</v>
      </c>
      <c r="N148" s="207" t="str">
        <f>IF(ISTEXT(VLOOKUP(LEFT(E148,3),'Material editor'!$D$11:$AE$110,'Material editor'!$AE$8,0)),VLOOKUP(LEFT(E148,3),'Material editor'!$D$11:$AE$110,'Material editor'!$AE$8,0),"")</f>
        <v/>
      </c>
      <c r="O148" s="201"/>
      <c r="P148" s="201"/>
      <c r="Q148" s="201"/>
      <c r="R148" s="228"/>
      <c r="S148" s="228"/>
      <c r="T148" s="228"/>
      <c r="U148" s="214"/>
      <c r="V148" s="201"/>
      <c r="W148" s="201"/>
      <c r="X148" s="201"/>
      <c r="Y148" s="201"/>
      <c r="Z148" s="201"/>
      <c r="AA148" s="201"/>
      <c r="AB148" s="201"/>
      <c r="AC148" s="201"/>
      <c r="AD148" s="201"/>
      <c r="AE148" s="201"/>
      <c r="AF148" s="201"/>
      <c r="AG148" s="201"/>
      <c r="AH148" s="201"/>
      <c r="AI148" s="201"/>
      <c r="AJ148" s="201"/>
    </row>
    <row r="149" spans="1:36" hidden="1" outlineLevel="2" x14ac:dyDescent="0.25">
      <c r="A149" s="201"/>
      <c r="B149" s="201"/>
      <c r="C149" s="227"/>
      <c r="D149" s="232" t="s">
        <v>682</v>
      </c>
      <c r="E149" s="204" t="s">
        <v>683</v>
      </c>
      <c r="F149" s="205">
        <f>IF(ISNUMBER(VLOOKUP(LEFT(E149,3),'Material editor'!$D$11:$H$110,'Material editor'!$F$8,0)),VLOOKUP(LEFT(E149,3),'Material editor'!$D$11:$H$110,'Material editor'!$F$8,0),"")</f>
        <v>8577.8982058033398</v>
      </c>
      <c r="G149" s="205">
        <f>IF(ISNUMBER(VLOOKUP(LEFT(E149,3),'Material editor'!$D$11:$H$110,'Material editor'!$G$8,0)),VLOOKUP(LEFT(E149,3),'Material editor'!$D$11:$H$110,'Material editor'!$G$8,0),"")</f>
        <v>1740.6610483823918</v>
      </c>
      <c r="H149" s="205">
        <f>IF(ISNUMBER(VLOOKUP(LEFT(E149,3),'Material editor'!$D$11:$H$110,'Material editor'!$H$8,0)),VLOOKUP(LEFT(E149,3),'Material editor'!$D$11:$H$110,'Material editor'!$H$8,0),"")</f>
        <v>20</v>
      </c>
      <c r="I149" s="94">
        <f>380-40-25+50+40</f>
        <v>405</v>
      </c>
      <c r="J149" s="206"/>
      <c r="K149" s="206"/>
      <c r="L149" s="207">
        <f>F149*I149/(1000*1000)*Balance!$H$13/H149</f>
        <v>3.4740487733503529</v>
      </c>
      <c r="M149" s="207">
        <f>G149*I149/(1000*1000)*Balance!$H$13/H149</f>
        <v>0.70496772459486856</v>
      </c>
      <c r="N149" s="207" t="str">
        <f>IF(ISTEXT(VLOOKUP(LEFT(E149,3),'Material editor'!$D$11:$AE$110,'Material editor'!$AE$8,0)),VLOOKUP(LEFT(E149,3),'Material editor'!$D$11:$AE$110,'Material editor'!$AE$8,0),"")</f>
        <v/>
      </c>
      <c r="O149" s="201"/>
      <c r="P149" s="201"/>
      <c r="Q149" s="201"/>
      <c r="R149" s="228"/>
      <c r="S149" s="228"/>
      <c r="T149" s="228"/>
      <c r="U149" s="214"/>
      <c r="V149" s="201"/>
      <c r="W149" s="201"/>
      <c r="X149" s="201"/>
      <c r="Y149" s="201"/>
      <c r="Z149" s="201"/>
      <c r="AA149" s="201"/>
      <c r="AB149" s="201"/>
      <c r="AC149" s="201"/>
      <c r="AD149" s="201"/>
      <c r="AE149" s="201"/>
      <c r="AF149" s="201"/>
      <c r="AG149" s="201"/>
      <c r="AH149" s="201"/>
      <c r="AI149" s="201"/>
      <c r="AJ149" s="201"/>
    </row>
    <row r="150" spans="1:36" hidden="1" outlineLevel="2" x14ac:dyDescent="0.25">
      <c r="A150" s="201"/>
      <c r="B150" s="201"/>
      <c r="C150" s="227"/>
      <c r="D150" s="232" t="s">
        <v>758</v>
      </c>
      <c r="E150" s="204" t="s">
        <v>1047</v>
      </c>
      <c r="F150" s="205">
        <f>IF(ISNUMBER(VLOOKUP(LEFT(E150,3),'Material editor'!$D$11:$H$110,'Material editor'!$F$8,0)),VLOOKUP(LEFT(E150,3),'Material editor'!$D$11:$H$110,'Material editor'!$F$8,0),"")</f>
        <v>116264.03039558257</v>
      </c>
      <c r="G150" s="205">
        <f>IF(ISNUMBER(VLOOKUP(LEFT(E150,3),'Material editor'!$D$11:$H$110,'Material editor'!$G$8,0)),VLOOKUP(LEFT(E150,3),'Material editor'!$D$11:$H$110,'Material editor'!$G$8,0),"")</f>
        <v>23190.300000000003</v>
      </c>
      <c r="H150" s="205">
        <f>IF(ISNUMBER(VLOOKUP(LEFT(E150,3),'Material editor'!$D$11:$H$110,'Material editor'!$H$8,0)),VLOOKUP(LEFT(E150,3),'Material editor'!$D$11:$H$110,'Material editor'!$H$8,0),"")</f>
        <v>40</v>
      </c>
      <c r="I150" s="94">
        <f>130+145</f>
        <v>275</v>
      </c>
      <c r="J150" s="206"/>
      <c r="K150" s="206"/>
      <c r="L150" s="207">
        <f>F150*I150/(1000*1000)*Balance!$H$13/H150</f>
        <v>15.986304179392601</v>
      </c>
      <c r="M150" s="207">
        <f>G150*I150/(1000*1000)*Balance!$H$13/H150</f>
        <v>3.1886662500000003</v>
      </c>
      <c r="N150" s="207" t="str">
        <f>IF(ISTEXT(VLOOKUP(LEFT(E150,3),'Material editor'!$D$11:$AE$110,'Material editor'!$AE$8,0)),VLOOKUP(LEFT(E150,3),'Material editor'!$D$11:$AE$110,'Material editor'!$AE$8,0),"")</f>
        <v/>
      </c>
      <c r="O150" s="201"/>
      <c r="P150" s="201"/>
      <c r="Q150" s="201"/>
      <c r="R150" s="228"/>
      <c r="S150" s="228"/>
      <c r="T150" s="228"/>
      <c r="U150" s="214"/>
      <c r="V150" s="201"/>
      <c r="W150" s="201"/>
      <c r="X150" s="201"/>
      <c r="Y150" s="201"/>
      <c r="Z150" s="201"/>
      <c r="AA150" s="201"/>
      <c r="AB150" s="201"/>
      <c r="AC150" s="201"/>
      <c r="AD150" s="201"/>
      <c r="AE150" s="201"/>
      <c r="AF150" s="201"/>
      <c r="AG150" s="201"/>
      <c r="AH150" s="201"/>
      <c r="AI150" s="201"/>
      <c r="AJ150" s="201"/>
    </row>
    <row r="151" spans="1:36" hidden="1" outlineLevel="2" x14ac:dyDescent="0.25">
      <c r="A151" s="201"/>
      <c r="B151" s="201"/>
      <c r="C151" s="227"/>
      <c r="D151" s="232" t="s">
        <v>678</v>
      </c>
      <c r="E151" s="204" t="s">
        <v>1045</v>
      </c>
      <c r="F151" s="205">
        <f>IF(ISNUMBER(VLOOKUP(LEFT(E151,3),'Material editor'!$D$11:$H$110,'Material editor'!$F$8,0)),VLOOKUP(LEFT(E151,3),'Material editor'!$D$11:$H$110,'Material editor'!$F$8,0),"")</f>
        <v>31554.72432133375</v>
      </c>
      <c r="G151" s="205">
        <f>IF(ISNUMBER(VLOOKUP(LEFT(E151,3),'Material editor'!$D$11:$H$110,'Material editor'!$G$8,0)),VLOOKUP(LEFT(E151,3),'Material editor'!$D$11:$H$110,'Material editor'!$G$8,0),"")</f>
        <v>7570.5013256411439</v>
      </c>
      <c r="H151" s="205">
        <f>IF(ISNUMBER(VLOOKUP(LEFT(E151,3),'Material editor'!$D$11:$H$110,'Material editor'!$H$8,0)),VLOOKUP(LEFT(E151,3),'Material editor'!$D$11:$H$110,'Material editor'!$H$8,0),"")</f>
        <v>40</v>
      </c>
      <c r="I151" s="94">
        <v>50</v>
      </c>
      <c r="J151" s="206"/>
      <c r="K151" s="206"/>
      <c r="L151" s="207">
        <f>F151*I151/(1000*1000)*Balance!$H$13/H151</f>
        <v>0.78886810803334373</v>
      </c>
      <c r="M151" s="207">
        <f>G151*I151/(1000*1000)*Balance!$H$13/H151</f>
        <v>0.18926253314102859</v>
      </c>
      <c r="N151" s="207" t="str">
        <f>IF(ISTEXT(VLOOKUP(LEFT(E151,3),'Material editor'!$D$11:$AE$110,'Material editor'!$AE$8,0)),VLOOKUP(LEFT(E151,3),'Material editor'!$D$11:$AE$110,'Material editor'!$AE$8,0),"")</f>
        <v/>
      </c>
      <c r="O151" s="201"/>
      <c r="P151" s="201"/>
      <c r="Q151" s="201"/>
      <c r="R151" s="228"/>
      <c r="S151" s="228"/>
      <c r="T151" s="228"/>
      <c r="U151" s="214"/>
      <c r="V151" s="201"/>
      <c r="W151" s="201"/>
      <c r="X151" s="201"/>
      <c r="Y151" s="201"/>
      <c r="Z151" s="201"/>
      <c r="AA151" s="201"/>
      <c r="AB151" s="201"/>
      <c r="AC151" s="201"/>
      <c r="AD151" s="201"/>
      <c r="AE151" s="201"/>
      <c r="AF151" s="201"/>
      <c r="AG151" s="201"/>
      <c r="AH151" s="201"/>
      <c r="AI151" s="201"/>
      <c r="AJ151" s="201"/>
    </row>
    <row r="152" spans="1:36" hidden="1" outlineLevel="2" x14ac:dyDescent="0.25">
      <c r="A152" s="201"/>
      <c r="B152" s="201"/>
      <c r="C152" s="227"/>
      <c r="D152" s="232" t="s">
        <v>727</v>
      </c>
      <c r="E152" s="204" t="s">
        <v>1041</v>
      </c>
      <c r="F152" s="205">
        <f>IF(ISNUMBER(VLOOKUP(LEFT(E152,3),'Material editor'!$D$11:$H$110,'Material editor'!$F$8,0)),VLOOKUP(LEFT(E152,3),'Material editor'!$D$11:$H$110,'Material editor'!$F$8,0),"")</f>
        <v>12876.183614626107</v>
      </c>
      <c r="G152" s="205">
        <f>IF(ISNUMBER(VLOOKUP(LEFT(E152,3),'Material editor'!$D$11:$H$110,'Material editor'!$G$8,0)),VLOOKUP(LEFT(E152,3),'Material editor'!$D$11:$H$110,'Material editor'!$G$8,0),"")</f>
        <v>2121.6494532607658</v>
      </c>
      <c r="H152" s="205">
        <f>IF(ISNUMBER(VLOOKUP(LEFT(E152,3),'Material editor'!$D$11:$H$110,'Material editor'!$H$8,0)),VLOOKUP(LEFT(E152,3),'Material editor'!$D$11:$H$110,'Material editor'!$H$8,0),"")</f>
        <v>40</v>
      </c>
      <c r="I152" s="206"/>
      <c r="J152" s="94">
        <f>434+340+100</f>
        <v>874</v>
      </c>
      <c r="K152" s="79">
        <v>0.15</v>
      </c>
      <c r="L152" s="207">
        <f>(F152*J152/1000*K152/1000)*Balance!$H$13/H152</f>
        <v>0.84403383593874126</v>
      </c>
      <c r="M152" s="207">
        <f>G152*J152/(1000*1000)*Balance!$H$13/H152</f>
        <v>0.92716081107495474</v>
      </c>
      <c r="N152" s="207" t="str">
        <f>IF(ISTEXT(VLOOKUP(LEFT(E152,3),'Material editor'!$D$11:$AE$110,'Material editor'!$AE$8,0)),VLOOKUP(LEFT(E152,3),'Material editor'!$D$11:$AE$110,'Material editor'!$AE$8,0),"")</f>
        <v/>
      </c>
      <c r="O152" s="201"/>
      <c r="P152" s="201"/>
      <c r="Q152" s="201"/>
      <c r="R152" s="228"/>
      <c r="S152" s="228"/>
      <c r="T152" s="228"/>
      <c r="U152" s="214"/>
      <c r="V152" s="201"/>
      <c r="W152" s="201"/>
      <c r="X152" s="201"/>
      <c r="Y152" s="201"/>
      <c r="Z152" s="201"/>
      <c r="AA152" s="201"/>
      <c r="AB152" s="201"/>
      <c r="AC152" s="201"/>
      <c r="AD152" s="201"/>
      <c r="AE152" s="201"/>
      <c r="AF152" s="201"/>
      <c r="AG152" s="201"/>
      <c r="AH152" s="201"/>
      <c r="AI152" s="201"/>
      <c r="AJ152" s="201"/>
    </row>
    <row r="153" spans="1:36" hidden="1" outlineLevel="2" x14ac:dyDescent="0.25">
      <c r="A153" s="201"/>
      <c r="B153" s="201"/>
      <c r="C153" s="227"/>
      <c r="D153" s="232" t="s">
        <v>728</v>
      </c>
      <c r="E153" s="204" t="s">
        <v>1042</v>
      </c>
      <c r="F153" s="205">
        <f>IF(ISNUMBER(VLOOKUP(LEFT(E153,3),'Material editor'!$D$11:$H$110,'Material editor'!$F$8,0)),VLOOKUP(LEFT(E153,3),'Material editor'!$D$11:$H$110,'Material editor'!$F$8,0),"")</f>
        <v>13437.299176949344</v>
      </c>
      <c r="G153" s="205">
        <f>IF(ISNUMBER(VLOOKUP(LEFT(E153,3),'Material editor'!$D$11:$H$110,'Material editor'!$G$8,0)),VLOOKUP(LEFT(E153,3),'Material editor'!$D$11:$H$110,'Material editor'!$G$8,0),"")</f>
        <v>2087.9914411917075</v>
      </c>
      <c r="H153" s="205">
        <f>IF(ISNUMBER(VLOOKUP(LEFT(E153,3),'Material editor'!$D$11:$H$110,'Material editor'!$H$8,0)),VLOOKUP(LEFT(E153,3),'Material editor'!$D$11:$H$110,'Material editor'!$H$8,0),"")</f>
        <v>40</v>
      </c>
      <c r="I153" s="206"/>
      <c r="J153" s="94">
        <f>J152</f>
        <v>874</v>
      </c>
      <c r="K153" s="79">
        <v>0.15</v>
      </c>
      <c r="L153" s="207">
        <f>(F153*J153/1000*K153/1000)*Balance!$H$13/H153</f>
        <v>0.88081496104902945</v>
      </c>
      <c r="M153" s="207">
        <f>G153*J153/(1000*1000)*Balance!$H$13/H153</f>
        <v>0.91245225980077616</v>
      </c>
      <c r="N153" s="207"/>
      <c r="O153" s="201"/>
      <c r="P153" s="201"/>
      <c r="Q153" s="201"/>
      <c r="R153" s="228"/>
      <c r="S153" s="228"/>
      <c r="T153" s="228"/>
      <c r="U153" s="214"/>
      <c r="V153" s="201"/>
      <c r="W153" s="201"/>
      <c r="X153" s="201"/>
      <c r="Y153" s="201"/>
      <c r="Z153" s="201"/>
      <c r="AA153" s="201"/>
      <c r="AB153" s="201"/>
      <c r="AC153" s="201"/>
      <c r="AD153" s="201"/>
      <c r="AE153" s="201"/>
      <c r="AF153" s="201"/>
      <c r="AG153" s="201"/>
      <c r="AH153" s="201"/>
      <c r="AI153" s="201"/>
      <c r="AJ153" s="201"/>
    </row>
    <row r="154" spans="1:36" hidden="1" outlineLevel="2" x14ac:dyDescent="0.25">
      <c r="A154" s="201"/>
      <c r="B154" s="201"/>
      <c r="C154" s="227"/>
      <c r="D154" s="208"/>
      <c r="E154" s="204"/>
      <c r="F154" s="205"/>
      <c r="G154" s="205"/>
      <c r="H154" s="205"/>
      <c r="I154" s="206"/>
      <c r="J154" s="206"/>
      <c r="K154" s="206"/>
      <c r="L154" s="207"/>
      <c r="M154" s="207"/>
      <c r="N154" s="207"/>
      <c r="O154" s="201"/>
      <c r="P154" s="201"/>
      <c r="Q154" s="201"/>
      <c r="R154" s="228"/>
      <c r="S154" s="228"/>
      <c r="T154" s="228"/>
      <c r="U154" s="214"/>
      <c r="V154" s="201"/>
      <c r="W154" s="201"/>
      <c r="X154" s="201"/>
      <c r="Y154" s="201"/>
      <c r="Z154" s="201"/>
      <c r="AA154" s="201"/>
      <c r="AB154" s="201"/>
      <c r="AC154" s="201"/>
      <c r="AD154" s="201"/>
      <c r="AE154" s="201"/>
      <c r="AF154" s="201"/>
      <c r="AG154" s="201"/>
      <c r="AH154" s="201"/>
      <c r="AI154" s="201"/>
      <c r="AJ154" s="201"/>
    </row>
    <row r="155" spans="1:36" hidden="1" outlineLevel="2" x14ac:dyDescent="0.25">
      <c r="A155" s="201"/>
      <c r="B155" s="201"/>
      <c r="C155" s="227"/>
      <c r="D155" s="208"/>
      <c r="E155" s="204"/>
      <c r="F155" s="205"/>
      <c r="G155" s="205"/>
      <c r="H155" s="205"/>
      <c r="I155" s="206"/>
      <c r="J155" s="206"/>
      <c r="K155" s="206"/>
      <c r="L155" s="207"/>
      <c r="M155" s="207"/>
      <c r="N155" s="207"/>
      <c r="O155" s="201"/>
      <c r="P155" s="201"/>
      <c r="Q155" s="201"/>
      <c r="R155" s="228"/>
      <c r="S155" s="228"/>
      <c r="T155" s="228"/>
      <c r="U155" s="214"/>
      <c r="V155" s="201"/>
      <c r="W155" s="201"/>
      <c r="X155" s="201"/>
      <c r="Y155" s="201"/>
      <c r="Z155" s="201"/>
      <c r="AA155" s="201"/>
      <c r="AB155" s="201"/>
      <c r="AC155" s="201"/>
      <c r="AD155" s="201"/>
      <c r="AE155" s="201"/>
      <c r="AF155" s="201"/>
      <c r="AG155" s="201"/>
      <c r="AH155" s="201"/>
      <c r="AI155" s="201"/>
      <c r="AJ155" s="201"/>
    </row>
    <row r="156" spans="1:36" hidden="1" outlineLevel="2" x14ac:dyDescent="0.25">
      <c r="A156" s="201"/>
      <c r="B156" s="201"/>
      <c r="C156" s="227"/>
      <c r="D156" s="208"/>
      <c r="E156" s="204"/>
      <c r="F156" s="205"/>
      <c r="G156" s="205"/>
      <c r="H156" s="205"/>
      <c r="I156" s="206"/>
      <c r="J156" s="206"/>
      <c r="K156" s="206"/>
      <c r="L156" s="207"/>
      <c r="M156" s="207"/>
      <c r="N156" s="207"/>
      <c r="O156" s="201"/>
      <c r="P156" s="201"/>
      <c r="Q156" s="201"/>
      <c r="R156" s="228"/>
      <c r="S156" s="228"/>
      <c r="T156" s="228"/>
      <c r="U156" s="214"/>
      <c r="V156" s="201"/>
      <c r="W156" s="201"/>
      <c r="X156" s="201"/>
      <c r="Y156" s="201"/>
      <c r="Z156" s="201"/>
      <c r="AA156" s="201"/>
      <c r="AB156" s="201"/>
      <c r="AC156" s="201"/>
      <c r="AD156" s="201"/>
      <c r="AE156" s="201"/>
      <c r="AF156" s="201"/>
      <c r="AG156" s="201"/>
      <c r="AH156" s="201"/>
      <c r="AI156" s="201"/>
      <c r="AJ156" s="201"/>
    </row>
    <row r="157" spans="1:36" hidden="1" outlineLevel="2" x14ac:dyDescent="0.25">
      <c r="A157" s="201"/>
      <c r="B157" s="201"/>
      <c r="C157" s="227"/>
      <c r="D157" s="208"/>
      <c r="E157" s="204"/>
      <c r="F157" s="205"/>
      <c r="G157" s="205"/>
      <c r="H157" s="205"/>
      <c r="I157" s="206"/>
      <c r="J157" s="206"/>
      <c r="K157" s="206"/>
      <c r="L157" s="207"/>
      <c r="M157" s="207"/>
      <c r="N157" s="207"/>
      <c r="O157" s="201"/>
      <c r="P157" s="201"/>
      <c r="Q157" s="201"/>
      <c r="R157" s="228"/>
      <c r="S157" s="228"/>
      <c r="T157" s="228"/>
      <c r="U157" s="214"/>
      <c r="V157" s="201"/>
      <c r="W157" s="201"/>
      <c r="X157" s="201"/>
      <c r="Y157" s="201"/>
      <c r="Z157" s="201"/>
      <c r="AA157" s="201"/>
      <c r="AB157" s="201"/>
      <c r="AC157" s="201"/>
      <c r="AD157" s="201"/>
      <c r="AE157" s="201"/>
      <c r="AF157" s="201"/>
      <c r="AG157" s="201"/>
      <c r="AH157" s="201"/>
      <c r="AI157" s="201"/>
      <c r="AJ157" s="201"/>
    </row>
    <row r="158" spans="1:36" hidden="1" outlineLevel="2" x14ac:dyDescent="0.25">
      <c r="A158" s="201"/>
      <c r="B158" s="201"/>
      <c r="C158" s="227"/>
      <c r="D158" s="233"/>
      <c r="E158" s="234"/>
      <c r="F158" s="235" t="s">
        <v>732</v>
      </c>
      <c r="G158" s="235" t="s">
        <v>733</v>
      </c>
      <c r="H158" s="235" t="s">
        <v>734</v>
      </c>
      <c r="I158" s="235"/>
      <c r="J158" s="235" t="s">
        <v>778</v>
      </c>
      <c r="K158" s="235"/>
      <c r="L158" s="203" t="s">
        <v>730</v>
      </c>
      <c r="M158" s="203" t="s">
        <v>731</v>
      </c>
      <c r="N158" s="236"/>
      <c r="O158" s="201"/>
      <c r="P158" s="201"/>
      <c r="Q158" s="201"/>
      <c r="R158" s="228"/>
      <c r="S158" s="228"/>
      <c r="T158" s="228"/>
      <c r="U158" s="214"/>
      <c r="V158" s="201"/>
      <c r="W158" s="201"/>
      <c r="X158" s="201"/>
      <c r="Y158" s="201"/>
      <c r="Z158" s="201"/>
      <c r="AA158" s="201"/>
      <c r="AB158" s="201"/>
      <c r="AC158" s="201"/>
      <c r="AD158" s="201"/>
      <c r="AE158" s="201"/>
      <c r="AF158" s="201"/>
      <c r="AG158" s="201"/>
      <c r="AH158" s="201"/>
      <c r="AI158" s="201"/>
      <c r="AJ158" s="201"/>
    </row>
    <row r="159" spans="1:36" hidden="1" outlineLevel="2" x14ac:dyDescent="0.25">
      <c r="A159" s="201"/>
      <c r="B159" s="201"/>
      <c r="C159" s="227"/>
      <c r="D159" s="213" t="s">
        <v>780</v>
      </c>
      <c r="E159" s="133" t="s">
        <v>781</v>
      </c>
      <c r="F159" s="79">
        <v>1.19</v>
      </c>
      <c r="G159" s="93">
        <v>3.7999999999999999E-2</v>
      </c>
      <c r="H159" s="93">
        <v>0.12</v>
      </c>
      <c r="I159" s="201"/>
      <c r="J159" s="79">
        <v>1.5</v>
      </c>
      <c r="K159" s="228"/>
      <c r="L159" s="237">
        <f>IF(ISNUMBER(J159),J159*SUM(L148:L157),SUM(L148:L157))</f>
        <v>42.503561401381887</v>
      </c>
      <c r="M159" s="237">
        <f>IF(ISNUMBER(J159),J159*SUM(M148:M157),SUM(M148:M157))</f>
        <v>4.6508588960040713</v>
      </c>
      <c r="N159" s="133"/>
      <c r="O159" s="201"/>
      <c r="P159" s="201"/>
      <c r="Q159" s="201"/>
      <c r="R159" s="228"/>
      <c r="S159" s="228"/>
      <c r="T159" s="228"/>
      <c r="U159" s="214"/>
      <c r="V159" s="201"/>
      <c r="W159" s="201"/>
      <c r="X159" s="201"/>
      <c r="Y159" s="201"/>
      <c r="Z159" s="201"/>
      <c r="AA159" s="201"/>
      <c r="AB159" s="201"/>
      <c r="AC159" s="201"/>
      <c r="AD159" s="201"/>
      <c r="AE159" s="201"/>
      <c r="AF159" s="201"/>
      <c r="AG159" s="201"/>
      <c r="AH159" s="201"/>
      <c r="AI159" s="201"/>
      <c r="AJ159" s="201"/>
    </row>
    <row r="160" spans="1:36" hidden="1" outlineLevel="2" x14ac:dyDescent="0.25">
      <c r="B160" s="201"/>
      <c r="C160" s="225"/>
      <c r="D160" s="20"/>
      <c r="E160" s="20"/>
      <c r="F160" s="20"/>
      <c r="G160" s="20"/>
      <c r="H160" s="20"/>
      <c r="I160" s="20"/>
      <c r="J160" s="20"/>
      <c r="K160" s="20"/>
      <c r="L160" s="20"/>
      <c r="M160" s="20"/>
      <c r="N160" s="20"/>
      <c r="O160" s="20"/>
      <c r="P160" s="20"/>
      <c r="Q160" s="20"/>
      <c r="R160" s="20"/>
      <c r="S160" s="20"/>
      <c r="T160" s="20"/>
      <c r="U160" s="19"/>
      <c r="W160" s="201"/>
      <c r="X160" s="201"/>
      <c r="Y160" s="201"/>
      <c r="Z160" s="201"/>
      <c r="AA160" s="201"/>
      <c r="AB160" s="201"/>
      <c r="AC160" s="201"/>
      <c r="AD160" s="201"/>
      <c r="AE160" s="201"/>
      <c r="AF160" s="201"/>
      <c r="AG160" s="201"/>
      <c r="AH160" s="201"/>
      <c r="AI160" s="201"/>
      <c r="AJ160" s="201"/>
    </row>
    <row r="161" spans="1:36" hidden="1" outlineLevel="2" x14ac:dyDescent="0.25">
      <c r="A161" s="201"/>
      <c r="B161" s="201"/>
      <c r="C161" s="227"/>
      <c r="D161" s="228">
        <f>COLUMN()</f>
        <v>4</v>
      </c>
      <c r="E161" s="228">
        <f t="shared" ref="E161:N161" si="85">COLUMN()-$D$28+1</f>
        <v>2</v>
      </c>
      <c r="F161" s="228">
        <f t="shared" si="85"/>
        <v>3</v>
      </c>
      <c r="G161" s="228">
        <f t="shared" si="85"/>
        <v>4</v>
      </c>
      <c r="H161" s="228">
        <f t="shared" si="85"/>
        <v>5</v>
      </c>
      <c r="I161" s="228">
        <f t="shared" si="85"/>
        <v>6</v>
      </c>
      <c r="J161" s="228">
        <f t="shared" si="85"/>
        <v>7</v>
      </c>
      <c r="K161" s="228">
        <f t="shared" si="85"/>
        <v>8</v>
      </c>
      <c r="L161" s="228">
        <f t="shared" si="85"/>
        <v>9</v>
      </c>
      <c r="M161" s="228">
        <f t="shared" si="85"/>
        <v>10</v>
      </c>
      <c r="N161" s="228">
        <f t="shared" si="85"/>
        <v>11</v>
      </c>
      <c r="O161" s="201"/>
      <c r="P161" s="201"/>
      <c r="Q161" s="201"/>
      <c r="R161" s="228"/>
      <c r="S161" s="228"/>
      <c r="T161" s="228"/>
      <c r="U161" s="214"/>
      <c r="V161" s="201"/>
      <c r="W161" s="201"/>
      <c r="X161" s="201"/>
      <c r="Y161" s="201"/>
      <c r="Z161" s="201"/>
      <c r="AA161" s="201"/>
      <c r="AB161" s="201"/>
      <c r="AC161" s="201"/>
      <c r="AD161" s="201"/>
      <c r="AE161" s="201"/>
      <c r="AF161" s="201"/>
      <c r="AG161" s="201"/>
      <c r="AH161" s="201"/>
      <c r="AI161" s="201"/>
      <c r="AJ161" s="201"/>
    </row>
    <row r="162" spans="1:36" ht="22.5" hidden="1" outlineLevel="1" collapsed="1" x14ac:dyDescent="0.25">
      <c r="A162" s="201"/>
      <c r="B162" s="201"/>
      <c r="C162" s="260" t="str">
        <f>D175</f>
        <v>PH Ti-Alu</v>
      </c>
      <c r="D162" s="228"/>
      <c r="E162" s="202" t="s">
        <v>82</v>
      </c>
      <c r="F162" s="202" t="str">
        <f>'Material editor'!$F$9</f>
        <v>Manfacturing energy</v>
      </c>
      <c r="G162" s="202" t="s">
        <v>149</v>
      </c>
      <c r="H162" s="202" t="str">
        <f>'Material editor'!$H$9</f>
        <v>Service life</v>
      </c>
      <c r="I162" s="202" t="s">
        <v>671</v>
      </c>
      <c r="J162" s="202" t="s">
        <v>679</v>
      </c>
      <c r="K162" s="202" t="s">
        <v>776</v>
      </c>
      <c r="L162" s="202" t="s">
        <v>143</v>
      </c>
      <c r="M162" s="202" t="s">
        <v>149</v>
      </c>
      <c r="N162" s="202" t="str">
        <f>'Material editor'!$AE$9</f>
        <v>Comment PHI</v>
      </c>
      <c r="O162" s="201"/>
      <c r="P162" s="201"/>
      <c r="Q162" s="201"/>
      <c r="R162" s="228"/>
      <c r="S162" s="228"/>
      <c r="T162" s="228"/>
      <c r="U162" s="214"/>
      <c r="V162" s="201"/>
      <c r="W162" s="201"/>
      <c r="X162" s="201"/>
      <c r="Y162" s="201"/>
      <c r="Z162" s="201"/>
      <c r="AA162" s="201"/>
      <c r="AB162" s="201"/>
      <c r="AC162" s="201"/>
      <c r="AD162" s="201"/>
      <c r="AE162" s="201"/>
      <c r="AF162" s="201"/>
      <c r="AG162" s="201"/>
      <c r="AH162" s="201"/>
      <c r="AI162" s="201"/>
      <c r="AJ162" s="201"/>
    </row>
    <row r="163" spans="1:36" hidden="1" outlineLevel="2" x14ac:dyDescent="0.25">
      <c r="A163" s="201"/>
      <c r="B163" s="201"/>
      <c r="C163" s="227"/>
      <c r="D163" s="228"/>
      <c r="E163" s="228"/>
      <c r="F163" s="203" t="s">
        <v>144</v>
      </c>
      <c r="G163" s="203" t="s">
        <v>148</v>
      </c>
      <c r="H163" s="203" t="s">
        <v>146</v>
      </c>
      <c r="I163" s="203" t="s">
        <v>672</v>
      </c>
      <c r="J163" s="203" t="s">
        <v>344</v>
      </c>
      <c r="K163" s="203" t="s">
        <v>777</v>
      </c>
      <c r="L163" s="203" t="s">
        <v>730</v>
      </c>
      <c r="M163" s="203" t="s">
        <v>731</v>
      </c>
      <c r="N163" s="228"/>
      <c r="O163" s="201"/>
      <c r="P163" s="201"/>
      <c r="Q163" s="201"/>
      <c r="R163" s="228"/>
      <c r="S163" s="228"/>
      <c r="T163" s="228"/>
      <c r="U163" s="214"/>
      <c r="V163" s="201"/>
      <c r="W163" s="201"/>
      <c r="X163" s="201"/>
      <c r="Y163" s="201"/>
      <c r="Z163" s="201"/>
      <c r="AA163" s="201"/>
      <c r="AB163" s="201"/>
      <c r="AC163" s="201"/>
      <c r="AD163" s="201"/>
      <c r="AE163" s="201"/>
      <c r="AF163" s="201"/>
      <c r="AG163" s="201"/>
      <c r="AH163" s="201"/>
      <c r="AI163" s="201"/>
      <c r="AJ163" s="201"/>
    </row>
    <row r="164" spans="1:36" hidden="1" outlineLevel="2" x14ac:dyDescent="0.25">
      <c r="A164" s="201"/>
      <c r="B164" s="201"/>
      <c r="C164" s="227"/>
      <c r="D164" s="232" t="s">
        <v>674</v>
      </c>
      <c r="E164" s="204" t="s">
        <v>670</v>
      </c>
      <c r="F164" s="205">
        <f>IF(ISNUMBER(VLOOKUP(LEFT(E164,3),'Material editor'!$D$11:$H$110,'Material editor'!$F$8,0)),VLOOKUP(LEFT(E164,3),'Material editor'!$D$11:$H$110,'Material editor'!$F$8,0),"")</f>
        <v>1434.0932694222695</v>
      </c>
      <c r="G164" s="205">
        <f>IF(ISNUMBER(VLOOKUP(LEFT(E164,3),'Material editor'!$D$11:$H$110,'Material editor'!$G$8,0)),VLOOKUP(LEFT(E164,3),'Material editor'!$D$11:$H$110,'Material editor'!$G$8,0),"")</f>
        <v>-636.14449532812898</v>
      </c>
      <c r="H164" s="205">
        <f>IF(ISNUMBER(VLOOKUP(LEFT(E164,3),'Material editor'!$D$11:$H$110,'Material editor'!$H$8,0)),VLOOKUP(LEFT(E164,3),'Material editor'!$D$11:$H$110,'Material editor'!$H$8,0),"")</f>
        <v>40</v>
      </c>
      <c r="I164" s="94">
        <v>8394</v>
      </c>
      <c r="J164" s="206"/>
      <c r="K164" s="206"/>
      <c r="L164" s="207">
        <f>F164*I164/(1000*1000)*Balance!$H$13/H164</f>
        <v>6.0188894517652649</v>
      </c>
      <c r="M164" s="207">
        <f>G164*I164/(1000*1000)*Balance!$H$13/H164</f>
        <v>-2.6698984468921574</v>
      </c>
      <c r="N164" s="207" t="str">
        <f>IF(ISTEXT(VLOOKUP(LEFT(E164,3),'Material editor'!$D$11:$AE$110,'Material editor'!$AE$8,0)),VLOOKUP(LEFT(E164,3),'Material editor'!$D$11:$AE$110,'Material editor'!$AE$8,0),"")</f>
        <v/>
      </c>
      <c r="O164" s="201"/>
      <c r="P164" s="201"/>
      <c r="Q164" s="201"/>
      <c r="R164" s="228"/>
      <c r="S164" s="228"/>
      <c r="T164" s="228"/>
      <c r="U164" s="214"/>
      <c r="V164" s="201"/>
      <c r="W164" s="201"/>
      <c r="X164" s="201"/>
      <c r="Y164" s="201"/>
      <c r="Z164" s="201"/>
      <c r="AA164" s="201"/>
      <c r="AB164" s="201"/>
      <c r="AC164" s="201"/>
      <c r="AD164" s="201"/>
      <c r="AE164" s="201"/>
      <c r="AF164" s="201"/>
      <c r="AG164" s="201"/>
      <c r="AH164" s="201"/>
      <c r="AI164" s="201"/>
      <c r="AJ164" s="201"/>
    </row>
    <row r="165" spans="1:36" hidden="1" outlineLevel="2" x14ac:dyDescent="0.25">
      <c r="A165" s="201"/>
      <c r="B165" s="201"/>
      <c r="C165" s="227"/>
      <c r="D165" s="232" t="s">
        <v>682</v>
      </c>
      <c r="E165" s="204" t="s">
        <v>683</v>
      </c>
      <c r="F165" s="205">
        <f>IF(ISNUMBER(VLOOKUP(LEFT(E165,3),'Material editor'!$D$11:$H$110,'Material editor'!$F$8,0)),VLOOKUP(LEFT(E165,3),'Material editor'!$D$11:$H$110,'Material editor'!$F$8,0),"")</f>
        <v>8577.8982058033398</v>
      </c>
      <c r="G165" s="205">
        <f>IF(ISNUMBER(VLOOKUP(LEFT(E165,3),'Material editor'!$D$11:$H$110,'Material editor'!$G$8,0)),VLOOKUP(LEFT(E165,3),'Material editor'!$D$11:$H$110,'Material editor'!$G$8,0),"")</f>
        <v>1740.6610483823918</v>
      </c>
      <c r="H165" s="205">
        <f>IF(ISNUMBER(VLOOKUP(LEFT(E165,3),'Material editor'!$D$11:$H$110,'Material editor'!$H$8,0)),VLOOKUP(LEFT(E165,3),'Material editor'!$D$11:$H$110,'Material editor'!$H$8,0),"")</f>
        <v>20</v>
      </c>
      <c r="I165" s="94">
        <f>380-40-25+50+40+95</f>
        <v>500</v>
      </c>
      <c r="J165" s="206"/>
      <c r="K165" s="206"/>
      <c r="L165" s="207">
        <f>F165*I165/(1000*1000)*Balance!$H$13/H165</f>
        <v>4.28894910290167</v>
      </c>
      <c r="M165" s="207">
        <f>G165*I165/(1000*1000)*Balance!$H$13/H165</f>
        <v>0.87033052419119594</v>
      </c>
      <c r="N165" s="207" t="str">
        <f>IF(ISTEXT(VLOOKUP(LEFT(E165,3),'Material editor'!$D$11:$AE$110,'Material editor'!$AE$8,0)),VLOOKUP(LEFT(E165,3),'Material editor'!$D$11:$AE$110,'Material editor'!$AE$8,0),"")</f>
        <v/>
      </c>
      <c r="O165" s="201"/>
      <c r="P165" s="201"/>
      <c r="Q165" s="201"/>
      <c r="R165" s="228"/>
      <c r="S165" s="228"/>
      <c r="T165" s="228"/>
      <c r="U165" s="214"/>
      <c r="V165" s="201"/>
      <c r="W165" s="201"/>
      <c r="X165" s="201"/>
      <c r="Y165" s="201"/>
      <c r="Z165" s="201"/>
      <c r="AA165" s="201"/>
      <c r="AB165" s="201"/>
      <c r="AC165" s="201"/>
      <c r="AD165" s="201"/>
      <c r="AE165" s="201"/>
      <c r="AF165" s="201"/>
      <c r="AG165" s="201"/>
      <c r="AH165" s="201"/>
      <c r="AI165" s="201"/>
      <c r="AJ165" s="201"/>
    </row>
    <row r="166" spans="1:36" hidden="1" outlineLevel="2" x14ac:dyDescent="0.25">
      <c r="A166" s="201"/>
      <c r="B166" s="201"/>
      <c r="C166" s="227"/>
      <c r="D166" s="232" t="s">
        <v>784</v>
      </c>
      <c r="E166" s="204" t="s">
        <v>1048</v>
      </c>
      <c r="F166" s="205">
        <f>IF(ISNUMBER(VLOOKUP(LEFT(E166,3),'Material editor'!$D$11:$H$110,'Material editor'!$F$8,0)),VLOOKUP(LEFT(E166,3),'Material editor'!$D$11:$H$110,'Material editor'!$F$8,0),"")</f>
        <v>540.05697783972994</v>
      </c>
      <c r="G166" s="205">
        <f>IF(ISNUMBER(VLOOKUP(LEFT(E166,3),'Material editor'!$D$11:$H$110,'Material editor'!$G$8,0)),VLOOKUP(LEFT(E166,3),'Material editor'!$D$11:$H$110,'Material editor'!$G$8,0),"")</f>
        <v>115.88862783720495</v>
      </c>
      <c r="H166" s="205">
        <f>IF(ISNUMBER(VLOOKUP(LEFT(E166,3),'Material editor'!$D$11:$H$110,'Material editor'!$H$8,0)),VLOOKUP(LEFT(E166,3),'Material editor'!$D$11:$H$110,'Material editor'!$H$8,0),"")</f>
        <v>40</v>
      </c>
      <c r="I166" s="94">
        <f>1910+360</f>
        <v>2270</v>
      </c>
      <c r="J166" s="206"/>
      <c r="K166" s="206"/>
      <c r="L166" s="207">
        <f>F166*I166/(1000*1000)*Balance!$H$13/H166</f>
        <v>0.6129646698480935</v>
      </c>
      <c r="M166" s="207">
        <f>G166*I166/(1000*1000)*Balance!$H$13/H166</f>
        <v>0.13153359259522762</v>
      </c>
      <c r="N166" s="207" t="str">
        <f>IF(ISTEXT(VLOOKUP(LEFT(E166,3),'Material editor'!$D$11:$AE$110,'Material editor'!$AE$8,0)),VLOOKUP(LEFT(E166,3),'Material editor'!$D$11:$AE$110,'Material editor'!$AE$8,0),"")</f>
        <v/>
      </c>
      <c r="O166" s="201"/>
      <c r="P166" s="201"/>
      <c r="Q166" s="201"/>
      <c r="R166" s="228"/>
      <c r="S166" s="228"/>
      <c r="T166" s="228"/>
      <c r="U166" s="214"/>
      <c r="V166" s="201"/>
      <c r="W166" s="201"/>
      <c r="X166" s="201"/>
      <c r="Y166" s="201"/>
      <c r="Z166" s="201"/>
      <c r="AA166" s="201"/>
      <c r="AB166" s="201"/>
      <c r="AC166" s="201"/>
      <c r="AD166" s="201"/>
      <c r="AE166" s="201"/>
      <c r="AF166" s="201"/>
      <c r="AG166" s="201"/>
      <c r="AH166" s="201"/>
      <c r="AI166" s="201"/>
      <c r="AJ166" s="201"/>
    </row>
    <row r="167" spans="1:36" hidden="1" outlineLevel="2" x14ac:dyDescent="0.25">
      <c r="A167" s="201"/>
      <c r="B167" s="201"/>
      <c r="C167" s="227"/>
      <c r="D167" s="232" t="s">
        <v>758</v>
      </c>
      <c r="E167" s="204" t="s">
        <v>1047</v>
      </c>
      <c r="F167" s="205">
        <f>IF(ISNUMBER(VLOOKUP(LEFT(E167,3),'Material editor'!$D$11:$H$110,'Material editor'!$F$8,0)),VLOOKUP(LEFT(E167,3),'Material editor'!$D$11:$H$110,'Material editor'!$F$8,0),"")</f>
        <v>116264.03039558257</v>
      </c>
      <c r="G167" s="205">
        <f>IF(ISNUMBER(VLOOKUP(LEFT(E167,3),'Material editor'!$D$11:$H$110,'Material editor'!$G$8,0)),VLOOKUP(LEFT(E167,3),'Material editor'!$D$11:$H$110,'Material editor'!$G$8,0),"")</f>
        <v>23190.300000000003</v>
      </c>
      <c r="H167" s="205">
        <f>IF(ISNUMBER(VLOOKUP(LEFT(E167,3),'Material editor'!$D$11:$H$110,'Material editor'!$H$8,0)),VLOOKUP(LEFT(E167,3),'Material editor'!$D$11:$H$110,'Material editor'!$H$8,0),"")</f>
        <v>40</v>
      </c>
      <c r="I167" s="94">
        <f>130+145</f>
        <v>275</v>
      </c>
      <c r="J167" s="206"/>
      <c r="K167" s="206"/>
      <c r="L167" s="207">
        <f>F167*I167/(1000*1000)*Balance!$H$13/H167</f>
        <v>15.986304179392601</v>
      </c>
      <c r="M167" s="207">
        <f>G167*I167/(1000*1000)*Balance!$H$13/H167</f>
        <v>3.1886662500000003</v>
      </c>
      <c r="N167" s="207" t="str">
        <f>IF(ISTEXT(VLOOKUP(LEFT(E167,3),'Material editor'!$D$11:$AE$110,'Material editor'!$AE$8,0)),VLOOKUP(LEFT(E167,3),'Material editor'!$D$11:$AE$110,'Material editor'!$AE$8,0),"")</f>
        <v/>
      </c>
      <c r="O167" s="201"/>
      <c r="P167" s="201"/>
      <c r="Q167" s="201"/>
      <c r="R167" s="228"/>
      <c r="S167" s="228"/>
      <c r="T167" s="228"/>
      <c r="U167" s="214"/>
      <c r="V167" s="201"/>
      <c r="W167" s="201"/>
      <c r="X167" s="201"/>
      <c r="Y167" s="201"/>
      <c r="Z167" s="201"/>
      <c r="AA167" s="201"/>
      <c r="AB167" s="201"/>
      <c r="AC167" s="201"/>
      <c r="AD167" s="201"/>
      <c r="AE167" s="201"/>
      <c r="AF167" s="201"/>
      <c r="AG167" s="201"/>
      <c r="AH167" s="201"/>
      <c r="AI167" s="201"/>
      <c r="AJ167" s="201"/>
    </row>
    <row r="168" spans="1:36" hidden="1" outlineLevel="2" x14ac:dyDescent="0.25">
      <c r="A168" s="201"/>
      <c r="B168" s="201"/>
      <c r="C168" s="227"/>
      <c r="D168" s="232" t="s">
        <v>678</v>
      </c>
      <c r="E168" s="204" t="s">
        <v>1045</v>
      </c>
      <c r="F168" s="205">
        <f>IF(ISNUMBER(VLOOKUP(LEFT(E168,3),'Material editor'!$D$11:$H$110,'Material editor'!$F$8,0)),VLOOKUP(LEFT(E168,3),'Material editor'!$D$11:$H$110,'Material editor'!$F$8,0),"")</f>
        <v>31554.72432133375</v>
      </c>
      <c r="G168" s="205">
        <f>IF(ISNUMBER(VLOOKUP(LEFT(E168,3),'Material editor'!$D$11:$H$110,'Material editor'!$G$8,0)),VLOOKUP(LEFT(E168,3),'Material editor'!$D$11:$H$110,'Material editor'!$G$8,0),"")</f>
        <v>7570.5013256411439</v>
      </c>
      <c r="H168" s="205">
        <f>IF(ISNUMBER(VLOOKUP(LEFT(E168,3),'Material editor'!$D$11:$H$110,'Material editor'!$H$8,0)),VLOOKUP(LEFT(E168,3),'Material editor'!$D$11:$H$110,'Material editor'!$H$8,0),"")</f>
        <v>40</v>
      </c>
      <c r="I168" s="94">
        <v>50</v>
      </c>
      <c r="J168" s="206"/>
      <c r="K168" s="206"/>
      <c r="L168" s="207">
        <f>F168*I168/(1000*1000)*Balance!$H$13/H168</f>
        <v>0.78886810803334373</v>
      </c>
      <c r="M168" s="207">
        <f>G168*I168/(1000*1000)*Balance!$H$13/H168</f>
        <v>0.18926253314102859</v>
      </c>
      <c r="N168" s="207" t="str">
        <f>IF(ISTEXT(VLOOKUP(LEFT(E168,3),'Material editor'!$D$11:$AE$110,'Material editor'!$AE$8,0)),VLOOKUP(LEFT(E168,3),'Material editor'!$D$11:$AE$110,'Material editor'!$AE$8,0),"")</f>
        <v/>
      </c>
      <c r="O168" s="201"/>
      <c r="P168" s="201"/>
      <c r="Q168" s="201"/>
      <c r="R168" s="228"/>
      <c r="S168" s="228"/>
      <c r="T168" s="228"/>
      <c r="U168" s="214"/>
      <c r="V168" s="201"/>
      <c r="W168" s="201"/>
      <c r="X168" s="201"/>
      <c r="Y168" s="201"/>
      <c r="Z168" s="201"/>
      <c r="AA168" s="201"/>
      <c r="AB168" s="201"/>
      <c r="AC168" s="201"/>
      <c r="AD168" s="201"/>
      <c r="AE168" s="201"/>
      <c r="AF168" s="201"/>
      <c r="AG168" s="201"/>
      <c r="AH168" s="201"/>
      <c r="AI168" s="201"/>
      <c r="AJ168" s="201"/>
    </row>
    <row r="169" spans="1:36" hidden="1" outlineLevel="2" x14ac:dyDescent="0.25">
      <c r="A169" s="201"/>
      <c r="B169" s="201"/>
      <c r="C169" s="227"/>
      <c r="D169" s="232" t="s">
        <v>727</v>
      </c>
      <c r="E169" s="204" t="s">
        <v>1041</v>
      </c>
      <c r="F169" s="205">
        <f>IF(ISNUMBER(VLOOKUP(LEFT(E169,3),'Material editor'!$D$11:$H$110,'Material editor'!$F$8,0)),VLOOKUP(LEFT(E169,3),'Material editor'!$D$11:$H$110,'Material editor'!$F$8,0),"")</f>
        <v>12876.183614626107</v>
      </c>
      <c r="G169" s="205">
        <f>IF(ISNUMBER(VLOOKUP(LEFT(E169,3),'Material editor'!$D$11:$H$110,'Material editor'!$G$8,0)),VLOOKUP(LEFT(E169,3),'Material editor'!$D$11:$H$110,'Material editor'!$G$8,0),"")</f>
        <v>2121.6494532607658</v>
      </c>
      <c r="H169" s="205">
        <f>IF(ISNUMBER(VLOOKUP(LEFT(E169,3),'Material editor'!$D$11:$H$110,'Material editor'!$H$8,0)),VLOOKUP(LEFT(E169,3),'Material editor'!$D$11:$H$110,'Material editor'!$H$8,0),"")</f>
        <v>40</v>
      </c>
      <c r="I169" s="206"/>
      <c r="J169" s="94">
        <f>434+340+100</f>
        <v>874</v>
      </c>
      <c r="K169" s="79">
        <v>0.15</v>
      </c>
      <c r="L169" s="207">
        <f>(F169*J169/1000*K169/1000)*Balance!$H$13/H169</f>
        <v>0.84403383593874126</v>
      </c>
      <c r="M169" s="207">
        <f>G169*J169/(1000*1000)*Balance!$H$13/H169</f>
        <v>0.92716081107495474</v>
      </c>
      <c r="N169" s="207"/>
      <c r="O169" s="201"/>
      <c r="P169" s="201"/>
      <c r="Q169" s="201"/>
      <c r="R169" s="228"/>
      <c r="S169" s="228"/>
      <c r="T169" s="228"/>
      <c r="U169" s="214"/>
      <c r="V169" s="201"/>
      <c r="W169" s="201"/>
      <c r="X169" s="201"/>
      <c r="Y169" s="201"/>
      <c r="Z169" s="201"/>
      <c r="AA169" s="201"/>
      <c r="AB169" s="201"/>
      <c r="AC169" s="201"/>
      <c r="AD169" s="201"/>
      <c r="AE169" s="201"/>
      <c r="AF169" s="201"/>
      <c r="AG169" s="201"/>
      <c r="AH169" s="201"/>
      <c r="AI169" s="201"/>
      <c r="AJ169" s="201"/>
    </row>
    <row r="170" spans="1:36" hidden="1" outlineLevel="2" x14ac:dyDescent="0.25">
      <c r="A170" s="201"/>
      <c r="B170" s="201"/>
      <c r="C170" s="227"/>
      <c r="D170" s="232" t="s">
        <v>728</v>
      </c>
      <c r="E170" s="204" t="s">
        <v>1042</v>
      </c>
      <c r="F170" s="205">
        <f>IF(ISNUMBER(VLOOKUP(LEFT(E170,3),'Material editor'!$D$11:$H$110,'Material editor'!$F$8,0)),VLOOKUP(LEFT(E170,3),'Material editor'!$D$11:$H$110,'Material editor'!$F$8,0),"")</f>
        <v>13437.299176949344</v>
      </c>
      <c r="G170" s="205">
        <f>IF(ISNUMBER(VLOOKUP(LEFT(E170,3),'Material editor'!$D$11:$H$110,'Material editor'!$G$8,0)),VLOOKUP(LEFT(E170,3),'Material editor'!$D$11:$H$110,'Material editor'!$G$8,0),"")</f>
        <v>2087.9914411917075</v>
      </c>
      <c r="H170" s="205">
        <f>IF(ISNUMBER(VLOOKUP(LEFT(E170,3),'Material editor'!$D$11:$H$110,'Material editor'!$H$8,0)),VLOOKUP(LEFT(E170,3),'Material editor'!$D$11:$H$110,'Material editor'!$H$8,0),"")</f>
        <v>40</v>
      </c>
      <c r="I170" s="206"/>
      <c r="J170" s="94">
        <f>J169</f>
        <v>874</v>
      </c>
      <c r="K170" s="79">
        <v>0.15</v>
      </c>
      <c r="L170" s="207">
        <f>(F170*J170/1000*K170/1000)*Balance!$H$13/H170</f>
        <v>0.88081496104902945</v>
      </c>
      <c r="M170" s="207">
        <f>G170*J170/(1000*1000)*Balance!$H$13/H170</f>
        <v>0.91245225980077616</v>
      </c>
      <c r="N170" s="207"/>
      <c r="O170" s="201"/>
      <c r="P170" s="201"/>
      <c r="Q170" s="201"/>
      <c r="R170" s="228"/>
      <c r="S170" s="228"/>
      <c r="T170" s="228"/>
      <c r="U170" s="214"/>
      <c r="V170" s="201"/>
      <c r="W170" s="201"/>
      <c r="X170" s="201"/>
      <c r="Y170" s="201"/>
      <c r="Z170" s="201"/>
      <c r="AA170" s="201"/>
      <c r="AB170" s="201"/>
      <c r="AC170" s="201"/>
      <c r="AD170" s="201"/>
      <c r="AE170" s="201"/>
      <c r="AF170" s="201"/>
      <c r="AG170" s="201"/>
      <c r="AH170" s="201"/>
      <c r="AI170" s="201"/>
      <c r="AJ170" s="201"/>
    </row>
    <row r="171" spans="1:36" hidden="1" outlineLevel="2" x14ac:dyDescent="0.25">
      <c r="A171" s="201"/>
      <c r="B171" s="201"/>
      <c r="C171" s="227"/>
      <c r="D171" s="208"/>
      <c r="E171" s="204"/>
      <c r="F171" s="205"/>
      <c r="G171" s="205"/>
      <c r="H171" s="205"/>
      <c r="I171" s="206"/>
      <c r="J171" s="206"/>
      <c r="K171" s="206"/>
      <c r="L171" s="207"/>
      <c r="M171" s="207"/>
      <c r="N171" s="207"/>
      <c r="O171" s="201"/>
      <c r="P171" s="201"/>
      <c r="Q171" s="201"/>
      <c r="R171" s="228"/>
      <c r="S171" s="228"/>
      <c r="T171" s="228"/>
      <c r="U171" s="214"/>
      <c r="V171" s="201"/>
      <c r="W171" s="201"/>
      <c r="X171" s="201"/>
      <c r="Y171" s="201"/>
      <c r="Z171" s="201"/>
      <c r="AA171" s="201"/>
      <c r="AB171" s="201"/>
      <c r="AC171" s="201"/>
      <c r="AD171" s="201"/>
      <c r="AE171" s="201"/>
      <c r="AF171" s="201"/>
      <c r="AG171" s="201"/>
      <c r="AH171" s="201"/>
      <c r="AI171" s="201"/>
      <c r="AJ171" s="201"/>
    </row>
    <row r="172" spans="1:36" hidden="1" outlineLevel="2" x14ac:dyDescent="0.25">
      <c r="A172" s="201"/>
      <c r="B172" s="201"/>
      <c r="C172" s="227"/>
      <c r="D172" s="208"/>
      <c r="E172" s="204"/>
      <c r="F172" s="205"/>
      <c r="G172" s="205"/>
      <c r="H172" s="205"/>
      <c r="I172" s="206"/>
      <c r="J172" s="206"/>
      <c r="K172" s="206"/>
      <c r="L172" s="207"/>
      <c r="M172" s="207"/>
      <c r="N172" s="207"/>
      <c r="O172" s="201"/>
      <c r="P172" s="201"/>
      <c r="Q172" s="201"/>
      <c r="R172" s="228"/>
      <c r="S172" s="228"/>
      <c r="T172" s="228"/>
      <c r="U172" s="214"/>
      <c r="V172" s="201"/>
      <c r="W172" s="201"/>
      <c r="X172" s="201"/>
      <c r="Y172" s="201"/>
      <c r="Z172" s="201"/>
      <c r="AA172" s="201"/>
      <c r="AB172" s="201"/>
      <c r="AC172" s="201"/>
      <c r="AD172" s="201"/>
      <c r="AE172" s="201"/>
      <c r="AF172" s="201"/>
      <c r="AG172" s="201"/>
      <c r="AH172" s="201"/>
      <c r="AI172" s="201"/>
      <c r="AJ172" s="201"/>
    </row>
    <row r="173" spans="1:36" hidden="1" outlineLevel="2" x14ac:dyDescent="0.25">
      <c r="A173" s="201"/>
      <c r="B173" s="201"/>
      <c r="C173" s="227"/>
      <c r="D173" s="208"/>
      <c r="E173" s="204"/>
      <c r="F173" s="205"/>
      <c r="G173" s="205"/>
      <c r="H173" s="205"/>
      <c r="I173" s="206"/>
      <c r="J173" s="206"/>
      <c r="K173" s="206"/>
      <c r="L173" s="207"/>
      <c r="M173" s="207"/>
      <c r="N173" s="207"/>
      <c r="O173" s="201"/>
      <c r="P173" s="201"/>
      <c r="Q173" s="201"/>
      <c r="R173" s="228"/>
      <c r="S173" s="228"/>
      <c r="T173" s="228"/>
      <c r="U173" s="214"/>
      <c r="V173" s="201"/>
      <c r="W173" s="201"/>
      <c r="X173" s="201"/>
      <c r="Y173" s="201"/>
      <c r="Z173" s="201"/>
      <c r="AA173" s="201"/>
      <c r="AB173" s="201"/>
      <c r="AC173" s="201"/>
      <c r="AD173" s="201"/>
      <c r="AE173" s="201"/>
      <c r="AF173" s="201"/>
      <c r="AG173" s="201"/>
      <c r="AH173" s="201"/>
      <c r="AI173" s="201"/>
      <c r="AJ173" s="201"/>
    </row>
    <row r="174" spans="1:36" hidden="1" outlineLevel="2" x14ac:dyDescent="0.25">
      <c r="A174" s="201"/>
      <c r="B174" s="201"/>
      <c r="C174" s="227"/>
      <c r="D174" s="233"/>
      <c r="E174" s="234"/>
      <c r="F174" s="235" t="s">
        <v>732</v>
      </c>
      <c r="G174" s="235" t="s">
        <v>733</v>
      </c>
      <c r="H174" s="235" t="s">
        <v>734</v>
      </c>
      <c r="I174" s="235"/>
      <c r="J174" s="235" t="s">
        <v>778</v>
      </c>
      <c r="K174" s="235"/>
      <c r="L174" s="203" t="s">
        <v>730</v>
      </c>
      <c r="M174" s="203" t="s">
        <v>731</v>
      </c>
      <c r="N174" s="236"/>
      <c r="O174" s="201"/>
      <c r="P174" s="201"/>
      <c r="Q174" s="201"/>
      <c r="R174" s="228"/>
      <c r="S174" s="228"/>
      <c r="T174" s="228"/>
      <c r="U174" s="214"/>
      <c r="V174" s="201"/>
      <c r="W174" s="201"/>
      <c r="X174" s="201"/>
      <c r="Y174" s="201"/>
      <c r="Z174" s="201"/>
      <c r="AA174" s="201"/>
      <c r="AB174" s="201"/>
      <c r="AC174" s="201"/>
      <c r="AD174" s="201"/>
      <c r="AE174" s="201"/>
      <c r="AF174" s="201"/>
      <c r="AG174" s="201"/>
      <c r="AH174" s="201"/>
      <c r="AI174" s="201"/>
      <c r="AJ174" s="201"/>
    </row>
    <row r="175" spans="1:36" hidden="1" outlineLevel="2" x14ac:dyDescent="0.25">
      <c r="A175" s="201"/>
      <c r="B175" s="201"/>
      <c r="C175" s="227"/>
      <c r="D175" s="213" t="s">
        <v>782</v>
      </c>
      <c r="E175" s="133" t="s">
        <v>783</v>
      </c>
      <c r="F175" s="79">
        <v>0.75</v>
      </c>
      <c r="G175" s="93">
        <v>3.2000000000000001E-2</v>
      </c>
      <c r="H175" s="93">
        <v>0.12</v>
      </c>
      <c r="I175" s="201"/>
      <c r="J175" s="79">
        <v>1.5</v>
      </c>
      <c r="K175" s="228"/>
      <c r="L175" s="237">
        <f>IF(ISNUMBER(J175),J175*SUM(L164:L173),SUM(L164:L173))</f>
        <v>44.131236463393122</v>
      </c>
      <c r="M175" s="237">
        <f>IF(ISNUMBER(J175),J175*SUM(M164:M173),SUM(M164:M173))</f>
        <v>5.3242612858665384</v>
      </c>
      <c r="N175" s="133"/>
      <c r="O175" s="201"/>
      <c r="P175" s="201"/>
      <c r="Q175" s="201"/>
      <c r="R175" s="228"/>
      <c r="S175" s="228"/>
      <c r="T175" s="228"/>
      <c r="U175" s="214"/>
      <c r="V175" s="201"/>
      <c r="W175" s="201"/>
      <c r="X175" s="201"/>
      <c r="Y175" s="201"/>
      <c r="Z175" s="201"/>
      <c r="AA175" s="201"/>
      <c r="AB175" s="201"/>
      <c r="AC175" s="201"/>
      <c r="AD175" s="201"/>
      <c r="AE175" s="201"/>
      <c r="AF175" s="201"/>
      <c r="AG175" s="201"/>
      <c r="AH175" s="201"/>
      <c r="AI175" s="201"/>
      <c r="AJ175" s="201"/>
    </row>
    <row r="176" spans="1:36" hidden="1" outlineLevel="2" x14ac:dyDescent="0.25">
      <c r="B176" s="201"/>
      <c r="C176" s="225"/>
      <c r="D176" s="20"/>
      <c r="E176" s="20"/>
      <c r="F176" s="20"/>
      <c r="G176" s="20"/>
      <c r="H176" s="20"/>
      <c r="I176" s="20"/>
      <c r="J176" s="20"/>
      <c r="K176" s="20"/>
      <c r="L176" s="20"/>
      <c r="M176" s="20"/>
      <c r="N176" s="20"/>
      <c r="O176" s="20"/>
      <c r="P176" s="20"/>
      <c r="Q176" s="20"/>
      <c r="R176" s="20"/>
      <c r="S176" s="20"/>
      <c r="T176" s="20"/>
      <c r="U176" s="19"/>
      <c r="W176" s="201"/>
      <c r="X176" s="201"/>
      <c r="Y176" s="201"/>
      <c r="Z176" s="201"/>
      <c r="AA176" s="201"/>
      <c r="AB176" s="201"/>
      <c r="AC176" s="201"/>
      <c r="AD176" s="201"/>
      <c r="AE176" s="201"/>
      <c r="AF176" s="201"/>
      <c r="AG176" s="201"/>
      <c r="AH176" s="201"/>
      <c r="AI176" s="201"/>
      <c r="AJ176" s="201"/>
    </row>
    <row r="177" spans="1:36" hidden="1" outlineLevel="2" x14ac:dyDescent="0.25">
      <c r="A177" s="201"/>
      <c r="B177" s="201"/>
      <c r="C177" s="227"/>
      <c r="D177" s="228">
        <f>COLUMN()</f>
        <v>4</v>
      </c>
      <c r="E177" s="228">
        <f t="shared" ref="E177:N177" si="86">COLUMN()-$D$28+1</f>
        <v>2</v>
      </c>
      <c r="F177" s="228">
        <f t="shared" si="86"/>
        <v>3</v>
      </c>
      <c r="G177" s="228">
        <f t="shared" si="86"/>
        <v>4</v>
      </c>
      <c r="H177" s="228">
        <f t="shared" si="86"/>
        <v>5</v>
      </c>
      <c r="I177" s="228">
        <f t="shared" si="86"/>
        <v>6</v>
      </c>
      <c r="J177" s="228">
        <f t="shared" si="86"/>
        <v>7</v>
      </c>
      <c r="K177" s="228">
        <f t="shared" si="86"/>
        <v>8</v>
      </c>
      <c r="L177" s="228">
        <f t="shared" si="86"/>
        <v>9</v>
      </c>
      <c r="M177" s="228">
        <f t="shared" si="86"/>
        <v>10</v>
      </c>
      <c r="N177" s="228">
        <f t="shared" si="86"/>
        <v>11</v>
      </c>
      <c r="O177" s="201"/>
      <c r="P177" s="201"/>
      <c r="Q177" s="201"/>
      <c r="R177" s="228"/>
      <c r="S177" s="228"/>
      <c r="T177" s="228"/>
      <c r="U177" s="214"/>
      <c r="V177" s="201"/>
      <c r="W177" s="201"/>
      <c r="X177" s="201"/>
      <c r="Y177" s="201"/>
      <c r="Z177" s="201"/>
      <c r="AA177" s="201"/>
      <c r="AB177" s="201"/>
      <c r="AC177" s="201"/>
      <c r="AD177" s="201"/>
      <c r="AE177" s="201"/>
      <c r="AF177" s="201"/>
      <c r="AG177" s="201"/>
      <c r="AH177" s="201"/>
      <c r="AI177" s="201"/>
      <c r="AJ177" s="201"/>
    </row>
    <row r="178" spans="1:36" ht="22.5" hidden="1" outlineLevel="1" collapsed="1" x14ac:dyDescent="0.25">
      <c r="A178" s="201"/>
      <c r="B178" s="201"/>
      <c r="C178" s="260" t="str">
        <f>D191</f>
        <v>Vinyl frame</v>
      </c>
      <c r="D178" s="228"/>
      <c r="E178" s="202" t="s">
        <v>82</v>
      </c>
      <c r="F178" s="202" t="str">
        <f>'Material editor'!$F$9</f>
        <v>Manfacturing energy</v>
      </c>
      <c r="G178" s="202" t="s">
        <v>149</v>
      </c>
      <c r="H178" s="202" t="str">
        <f>'Material editor'!$H$9</f>
        <v>Service life</v>
      </c>
      <c r="I178" s="202" t="s">
        <v>671</v>
      </c>
      <c r="J178" s="202" t="s">
        <v>679</v>
      </c>
      <c r="K178" s="202" t="s">
        <v>776</v>
      </c>
      <c r="L178" s="202" t="s">
        <v>143</v>
      </c>
      <c r="M178" s="202" t="s">
        <v>149</v>
      </c>
      <c r="N178" s="202" t="str">
        <f>'Material editor'!$AE$9</f>
        <v>Comment PHI</v>
      </c>
      <c r="O178" s="201"/>
      <c r="P178" s="201"/>
      <c r="Q178" s="201"/>
      <c r="R178" s="228"/>
      <c r="S178" s="228"/>
      <c r="T178" s="228"/>
      <c r="U178" s="214"/>
      <c r="V178" s="201"/>
      <c r="W178" s="201"/>
      <c r="X178" s="201"/>
      <c r="Y178" s="201"/>
      <c r="Z178" s="201"/>
      <c r="AA178" s="201"/>
      <c r="AB178" s="201"/>
      <c r="AC178" s="201"/>
      <c r="AD178" s="201"/>
      <c r="AE178" s="201"/>
      <c r="AF178" s="201"/>
      <c r="AG178" s="201"/>
      <c r="AH178" s="201"/>
      <c r="AI178" s="201"/>
      <c r="AJ178" s="201"/>
    </row>
    <row r="179" spans="1:36" hidden="1" outlineLevel="2" x14ac:dyDescent="0.25">
      <c r="A179" s="201"/>
      <c r="B179" s="201"/>
      <c r="C179" s="227"/>
      <c r="D179" s="228"/>
      <c r="E179" s="228"/>
      <c r="F179" s="203" t="s">
        <v>144</v>
      </c>
      <c r="G179" s="203" t="s">
        <v>148</v>
      </c>
      <c r="H179" s="203" t="s">
        <v>146</v>
      </c>
      <c r="I179" s="203" t="s">
        <v>672</v>
      </c>
      <c r="J179" s="203" t="s">
        <v>344</v>
      </c>
      <c r="K179" s="203" t="s">
        <v>777</v>
      </c>
      <c r="L179" s="203" t="s">
        <v>730</v>
      </c>
      <c r="M179" s="203" t="s">
        <v>731</v>
      </c>
      <c r="N179" s="228"/>
      <c r="O179" s="201"/>
      <c r="P179" s="201"/>
      <c r="Q179" s="201" t="s">
        <v>828</v>
      </c>
      <c r="R179" s="228"/>
      <c r="S179" s="228"/>
      <c r="T179" s="228"/>
      <c r="U179" s="214"/>
      <c r="V179" s="201"/>
      <c r="W179" s="201"/>
      <c r="X179" s="201"/>
      <c r="Y179" s="201"/>
      <c r="Z179" s="201"/>
      <c r="AA179" s="201"/>
      <c r="AB179" s="201"/>
      <c r="AC179" s="201"/>
      <c r="AD179" s="201"/>
      <c r="AE179" s="201"/>
      <c r="AF179" s="201"/>
      <c r="AG179" s="201"/>
      <c r="AH179" s="201"/>
      <c r="AI179" s="201"/>
      <c r="AJ179" s="201"/>
    </row>
    <row r="180" spans="1:36" hidden="1" outlineLevel="2" x14ac:dyDescent="0.25">
      <c r="A180" s="201"/>
      <c r="B180" s="201"/>
      <c r="C180" s="227"/>
      <c r="D180" s="232" t="s">
        <v>791</v>
      </c>
      <c r="E180" s="204" t="s">
        <v>1049</v>
      </c>
      <c r="F180" s="205">
        <f>IF(ISNUMBER(VLOOKUP(LEFT(E180,3),'Material editor'!$D$11:$H$110,'Material editor'!$F$8,0)),VLOOKUP(LEFT(E180,3),'Material editor'!$D$11:$H$110,'Material editor'!$F$8,0),"")</f>
        <v>13353.028746110036</v>
      </c>
      <c r="G180" s="205">
        <f>IF(ISNUMBER(VLOOKUP(LEFT(E180,3),'Material editor'!$D$11:$H$110,'Material editor'!$G$8,0)),VLOOKUP(LEFT(E180,3),'Material editor'!$D$11:$H$110,'Material editor'!$G$8,0),"")</f>
        <v>2813.1375307763001</v>
      </c>
      <c r="H180" s="205">
        <f>IF(ISNUMBER(VLOOKUP(LEFT(E180,3),'Material editor'!$D$11:$H$110,'Material editor'!$H$8,0)),VLOOKUP(LEFT(E180,3),'Material editor'!$D$11:$H$110,'Material editor'!$H$8,0),"")</f>
        <v>40</v>
      </c>
      <c r="I180" s="94">
        <v>2159</v>
      </c>
      <c r="J180" s="206"/>
      <c r="K180" s="206"/>
      <c r="L180" s="207">
        <f>F180*I180/(1000*1000)*Balance!$H$13/H180</f>
        <v>14.414594531425783</v>
      </c>
      <c r="M180" s="207">
        <f>G180*I180/(1000*1000)*Balance!$H$13/H180</f>
        <v>3.0367819644730161</v>
      </c>
      <c r="N180" s="207" t="str">
        <f>IF(ISTEXT(VLOOKUP(LEFT(E180,3),'Material editor'!$D$11:$AE$110,'Material editor'!$AE$8,0)),VLOOKUP(LEFT(E180,3),'Material editor'!$D$11:$AE$110,'Material editor'!$AE$8,0),"")</f>
        <v/>
      </c>
      <c r="O180" s="201"/>
      <c r="P180" s="201">
        <v>1400</v>
      </c>
      <c r="Q180" s="201">
        <f>P180*I180/(1000*1000)</f>
        <v>3.0226000000000002</v>
      </c>
      <c r="R180" s="228"/>
      <c r="S180" s="228"/>
      <c r="T180" s="228"/>
      <c r="U180" s="214"/>
      <c r="V180" s="201"/>
      <c r="W180" s="201"/>
      <c r="X180" s="201"/>
      <c r="Y180" s="201"/>
      <c r="Z180" s="201"/>
      <c r="AA180" s="201"/>
      <c r="AB180" s="201"/>
      <c r="AC180" s="201"/>
      <c r="AD180" s="201"/>
      <c r="AE180" s="201"/>
      <c r="AF180" s="201"/>
      <c r="AG180" s="201"/>
      <c r="AH180" s="201"/>
      <c r="AI180" s="201"/>
      <c r="AJ180" s="201"/>
    </row>
    <row r="181" spans="1:36" hidden="1" outlineLevel="2" x14ac:dyDescent="0.25">
      <c r="A181" s="201"/>
      <c r="B181" s="201"/>
      <c r="C181" s="227"/>
      <c r="D181" s="232" t="s">
        <v>792</v>
      </c>
      <c r="E181" s="204" t="s">
        <v>1050</v>
      </c>
      <c r="F181" s="205">
        <f>IF(ISNUMBER(VLOOKUP(LEFT(E181,3),'Material editor'!$D$11:$H$110,'Material editor'!$F$8,0)),VLOOKUP(LEFT(E181,3),'Material editor'!$D$11:$H$110,'Material editor'!$F$8,0),"")</f>
        <v>30073.963710488388</v>
      </c>
      <c r="G181" s="205">
        <f>IF(ISNUMBER(VLOOKUP(LEFT(E181,3),'Material editor'!$D$11:$H$110,'Material editor'!$G$8,0)),VLOOKUP(LEFT(E181,3),'Material editor'!$D$11:$H$110,'Material editor'!$G$8,0),"")</f>
        <v>5398.458661622054</v>
      </c>
      <c r="H181" s="205">
        <f>IF(ISNUMBER(VLOOKUP(LEFT(E181,3),'Material editor'!$D$11:$H$110,'Material editor'!$H$8,0)),VLOOKUP(LEFT(E181,3),'Material editor'!$D$11:$H$110,'Material editor'!$H$8,0),"")</f>
        <v>40</v>
      </c>
      <c r="I181" s="94">
        <v>285</v>
      </c>
      <c r="J181" s="206"/>
      <c r="K181" s="206"/>
      <c r="L181" s="207">
        <f>F181*I181/(1000*1000)*Balance!$H$13/H181</f>
        <v>4.2855398287445947</v>
      </c>
      <c r="M181" s="207">
        <f>G181*I181/(1000*1000)*Balance!$H$13/H181</f>
        <v>0.76928035928114269</v>
      </c>
      <c r="N181" s="207" t="str">
        <f>IF(ISTEXT(VLOOKUP(LEFT(E181,3),'Material editor'!$D$11:$AE$110,'Material editor'!$AE$8,0)),VLOOKUP(LEFT(E181,3),'Material editor'!$D$11:$AE$110,'Material editor'!$AE$8,0),"")</f>
        <v/>
      </c>
      <c r="O181" s="201"/>
      <c r="P181" s="201"/>
      <c r="Q181" s="201"/>
      <c r="R181" s="228"/>
      <c r="S181" s="228"/>
      <c r="T181" s="228"/>
      <c r="U181" s="214"/>
      <c r="V181" s="201"/>
      <c r="W181" s="201"/>
      <c r="X181" s="201"/>
      <c r="Y181" s="201"/>
      <c r="Z181" s="201"/>
      <c r="AA181" s="201"/>
      <c r="AB181" s="201"/>
      <c r="AC181" s="201"/>
      <c r="AD181" s="201"/>
      <c r="AE181" s="201"/>
      <c r="AF181" s="201"/>
      <c r="AG181" s="201"/>
      <c r="AH181" s="201"/>
      <c r="AI181" s="201"/>
      <c r="AJ181" s="201"/>
    </row>
    <row r="182" spans="1:36" hidden="1" outlineLevel="2" x14ac:dyDescent="0.25">
      <c r="A182" s="201"/>
      <c r="B182" s="201"/>
      <c r="C182" s="227"/>
      <c r="D182" s="232" t="s">
        <v>827</v>
      </c>
      <c r="E182" s="204" t="s">
        <v>826</v>
      </c>
      <c r="F182" s="205">
        <f>IF(ISNUMBER(VLOOKUP(LEFT(E182,3),'Material editor'!$D$11:$H$110,'Material editor'!$F$8,0)),VLOOKUP(LEFT(E182,3),'Material editor'!$D$11:$H$110,'Material editor'!$F$8,0),"")</f>
        <v>11445.45321095146</v>
      </c>
      <c r="G182" s="205">
        <f>IF(ISNUMBER(VLOOKUP(LEFT(E182,3),'Material editor'!$D$11:$H$110,'Material editor'!$G$8,0)),VLOOKUP(LEFT(E182,3),'Material editor'!$D$11:$H$110,'Material editor'!$G$8,0),"")</f>
        <v>2411.2607406654001</v>
      </c>
      <c r="H182" s="205">
        <f>IF(ISNUMBER(VLOOKUP(LEFT(E182,3),'Material editor'!$D$11:$H$110,'Material editor'!$H$8,0)),VLOOKUP(LEFT(E182,3),'Material editor'!$D$11:$H$110,'Material editor'!$H$8,0),"")</f>
        <v>20</v>
      </c>
      <c r="I182" s="94">
        <v>225</v>
      </c>
      <c r="J182" s="206"/>
      <c r="K182" s="206"/>
      <c r="L182" s="207">
        <f>F182*I182/(1000*1000)*Balance!$H$13/H182</f>
        <v>2.5752269724640784</v>
      </c>
      <c r="M182" s="207">
        <f>G182*I182/(1000*1000)*Balance!$H$13/H182</f>
        <v>0.54253366664971503</v>
      </c>
      <c r="N182" s="207" t="str">
        <f>IF(ISTEXT(VLOOKUP(LEFT(E182,3),'Material editor'!$D$11:$AE$110,'Material editor'!$AE$8,0)),VLOOKUP(LEFT(E182,3),'Material editor'!$D$11:$AE$110,'Material editor'!$AE$8,0),"")</f>
        <v/>
      </c>
      <c r="O182" s="201"/>
      <c r="P182" s="201"/>
      <c r="Q182" s="201"/>
      <c r="R182" s="228"/>
      <c r="S182" s="228"/>
      <c r="T182" s="228"/>
      <c r="U182" s="214"/>
      <c r="V182" s="201"/>
      <c r="W182" s="201"/>
      <c r="X182" s="201"/>
      <c r="Y182" s="201"/>
      <c r="Z182" s="201"/>
      <c r="AA182" s="201"/>
      <c r="AB182" s="201"/>
      <c r="AC182" s="201"/>
      <c r="AD182" s="201"/>
      <c r="AE182" s="201"/>
      <c r="AF182" s="201"/>
      <c r="AG182" s="201"/>
      <c r="AH182" s="201"/>
      <c r="AI182" s="201"/>
      <c r="AJ182" s="201"/>
    </row>
    <row r="183" spans="1:36" hidden="1" outlineLevel="2" x14ac:dyDescent="0.25">
      <c r="A183" s="201"/>
      <c r="B183" s="201"/>
      <c r="C183" s="227"/>
      <c r="D183" s="232" t="s">
        <v>678</v>
      </c>
      <c r="E183" s="204" t="s">
        <v>1045</v>
      </c>
      <c r="F183" s="205">
        <f>IF(ISNUMBER(VLOOKUP(LEFT(E183,3),'Material editor'!$D$11:$H$110,'Material editor'!$F$8,0)),VLOOKUP(LEFT(E183,3),'Material editor'!$D$11:$H$110,'Material editor'!$F$8,0),"")</f>
        <v>31554.72432133375</v>
      </c>
      <c r="G183" s="205">
        <f>IF(ISNUMBER(VLOOKUP(LEFT(E183,3),'Material editor'!$D$11:$H$110,'Material editor'!$G$8,0)),VLOOKUP(LEFT(E183,3),'Material editor'!$D$11:$H$110,'Material editor'!$G$8,0),"")</f>
        <v>7570.5013256411439</v>
      </c>
      <c r="H183" s="205">
        <f>IF(ISNUMBER(VLOOKUP(LEFT(E183,3),'Material editor'!$D$11:$H$110,'Material editor'!$H$8,0)),VLOOKUP(LEFT(E183,3),'Material editor'!$D$11:$H$110,'Material editor'!$H$8,0),"")</f>
        <v>40</v>
      </c>
      <c r="I183" s="94">
        <v>50</v>
      </c>
      <c r="J183" s="206"/>
      <c r="K183" s="206"/>
      <c r="L183" s="207">
        <f>F183*I183/(1000*1000)*Balance!$H$13/H183</f>
        <v>0.78886810803334373</v>
      </c>
      <c r="M183" s="207">
        <f>G183*I183/(1000*1000)*Balance!$H$13/H183</f>
        <v>0.18926253314102859</v>
      </c>
      <c r="N183" s="207" t="str">
        <f>IF(ISTEXT(VLOOKUP(LEFT(E183,3),'Material editor'!$D$11:$AE$110,'Material editor'!$AE$8,0)),VLOOKUP(LEFT(E183,3),'Material editor'!$D$11:$AE$110,'Material editor'!$AE$8,0),"")</f>
        <v/>
      </c>
      <c r="O183" s="201"/>
      <c r="P183" s="201"/>
      <c r="Q183" s="201"/>
      <c r="R183" s="228"/>
      <c r="S183" s="228"/>
      <c r="T183" s="228"/>
      <c r="U183" s="214"/>
      <c r="V183" s="201"/>
      <c r="W183" s="201"/>
      <c r="X183" s="201"/>
      <c r="Y183" s="201"/>
      <c r="Z183" s="201"/>
      <c r="AA183" s="201"/>
      <c r="AB183" s="201"/>
      <c r="AC183" s="201"/>
      <c r="AD183" s="201"/>
      <c r="AE183" s="201"/>
      <c r="AF183" s="201"/>
      <c r="AG183" s="201"/>
      <c r="AH183" s="201"/>
      <c r="AI183" s="201"/>
      <c r="AJ183" s="201"/>
    </row>
    <row r="184" spans="1:36" hidden="1" outlineLevel="2" x14ac:dyDescent="0.25">
      <c r="A184" s="201"/>
      <c r="B184" s="201"/>
      <c r="C184" s="227"/>
      <c r="D184" s="232" t="s">
        <v>823</v>
      </c>
      <c r="E184" s="204" t="s">
        <v>1044</v>
      </c>
      <c r="F184" s="205">
        <f>IF(ISNUMBER(VLOOKUP(LEFT(E184,3),'Material editor'!$D$11:$H$110,'Material editor'!$F$8,0)),VLOOKUP(LEFT(E184,3),'Material editor'!$D$11:$H$110,'Material editor'!$F$8,0),"")</f>
        <v>56758.989170428904</v>
      </c>
      <c r="G184" s="205">
        <f>IF(ISNUMBER(VLOOKUP(LEFT(E184,3),'Material editor'!$D$11:$H$110,'Material editor'!$G$8,0)),VLOOKUP(LEFT(E184,3),'Material editor'!$D$11:$H$110,'Material editor'!$G$8,0),"")</f>
        <v>10071.17420653871</v>
      </c>
      <c r="H184" s="205">
        <f>IF(ISNUMBER(VLOOKUP(LEFT(E184,3),'Material editor'!$D$11:$H$110,'Material editor'!$H$8,0)),VLOOKUP(LEFT(E184,3),'Material editor'!$D$11:$H$110,'Material editor'!$H$8,0),"")</f>
        <v>40</v>
      </c>
      <c r="I184" s="94">
        <v>73</v>
      </c>
      <c r="J184" s="206"/>
      <c r="K184" s="206"/>
      <c r="L184" s="207">
        <f>F184*I184/(1000*1000)*Balance!$H$13/H184</f>
        <v>2.0717031047206551</v>
      </c>
      <c r="M184" s="207">
        <f>G184*I184/(1000*1000)*Balance!$H$13/H184</f>
        <v>0.36759785853866289</v>
      </c>
      <c r="N184" s="207"/>
      <c r="O184" s="201"/>
      <c r="P184" s="201"/>
      <c r="Q184" s="201"/>
      <c r="R184" s="228"/>
      <c r="S184" s="228"/>
      <c r="T184" s="228"/>
      <c r="U184" s="214"/>
      <c r="V184" s="201"/>
      <c r="W184" s="201"/>
      <c r="X184" s="201"/>
      <c r="Y184" s="201"/>
      <c r="Z184" s="201"/>
      <c r="AA184" s="201"/>
      <c r="AB184" s="201"/>
      <c r="AC184" s="201"/>
      <c r="AD184" s="201"/>
      <c r="AE184" s="201"/>
      <c r="AF184" s="201"/>
      <c r="AG184" s="201"/>
      <c r="AH184" s="201"/>
      <c r="AI184" s="201"/>
      <c r="AJ184" s="201"/>
    </row>
    <row r="185" spans="1:36" hidden="1" outlineLevel="2" x14ac:dyDescent="0.25">
      <c r="A185" s="201"/>
      <c r="B185" s="201"/>
      <c r="C185" s="227"/>
      <c r="D185" s="208"/>
      <c r="E185" s="204"/>
      <c r="F185" s="205"/>
      <c r="G185" s="205"/>
      <c r="H185" s="205"/>
      <c r="I185" s="206"/>
      <c r="J185" s="206"/>
      <c r="K185" s="206"/>
      <c r="L185" s="207"/>
      <c r="M185" s="207"/>
      <c r="N185" s="207"/>
      <c r="O185" s="201"/>
      <c r="P185" s="201"/>
      <c r="Q185" s="201"/>
      <c r="R185" s="228"/>
      <c r="S185" s="228"/>
      <c r="T185" s="228"/>
      <c r="U185" s="214"/>
      <c r="V185" s="201"/>
      <c r="W185" s="201"/>
      <c r="X185" s="201"/>
      <c r="Y185" s="201"/>
      <c r="Z185" s="201"/>
      <c r="AA185" s="201"/>
      <c r="AB185" s="201"/>
      <c r="AC185" s="201"/>
      <c r="AD185" s="201"/>
      <c r="AE185" s="201"/>
      <c r="AF185" s="201"/>
      <c r="AG185" s="201"/>
      <c r="AH185" s="201"/>
      <c r="AI185" s="201"/>
      <c r="AJ185" s="201"/>
    </row>
    <row r="186" spans="1:36" hidden="1" outlineLevel="2" x14ac:dyDescent="0.25">
      <c r="A186" s="201"/>
      <c r="B186" s="201"/>
      <c r="C186" s="227"/>
      <c r="D186" s="208"/>
      <c r="E186" s="204"/>
      <c r="F186" s="205"/>
      <c r="G186" s="205"/>
      <c r="H186" s="205"/>
      <c r="I186" s="206"/>
      <c r="J186" s="206"/>
      <c r="K186" s="206"/>
      <c r="L186" s="207"/>
      <c r="M186" s="207"/>
      <c r="N186" s="207"/>
      <c r="O186" s="201"/>
      <c r="P186" s="201"/>
      <c r="Q186" s="201"/>
      <c r="R186" s="228"/>
      <c r="S186" s="228"/>
      <c r="T186" s="228"/>
      <c r="U186" s="214"/>
      <c r="V186" s="201"/>
      <c r="W186" s="201"/>
      <c r="X186" s="201"/>
      <c r="Y186" s="201"/>
      <c r="Z186" s="201"/>
      <c r="AA186" s="201"/>
      <c r="AB186" s="201"/>
      <c r="AC186" s="201"/>
      <c r="AD186" s="201"/>
      <c r="AE186" s="201"/>
      <c r="AF186" s="201"/>
      <c r="AG186" s="201"/>
      <c r="AH186" s="201"/>
      <c r="AI186" s="201"/>
      <c r="AJ186" s="201"/>
    </row>
    <row r="187" spans="1:36" hidden="1" outlineLevel="2" x14ac:dyDescent="0.25">
      <c r="A187" s="201"/>
      <c r="B187" s="201"/>
      <c r="C187" s="227"/>
      <c r="D187" s="208"/>
      <c r="E187" s="204"/>
      <c r="F187" s="205"/>
      <c r="G187" s="205"/>
      <c r="H187" s="205"/>
      <c r="I187" s="206"/>
      <c r="J187" s="206"/>
      <c r="K187" s="206"/>
      <c r="L187" s="207"/>
      <c r="M187" s="207"/>
      <c r="N187" s="207"/>
      <c r="O187" s="201"/>
      <c r="P187" s="201"/>
      <c r="Q187" s="201"/>
      <c r="R187" s="228"/>
      <c r="S187" s="228"/>
      <c r="T187" s="228"/>
      <c r="U187" s="214"/>
      <c r="V187" s="201"/>
      <c r="W187" s="201"/>
      <c r="X187" s="201"/>
      <c r="Y187" s="201"/>
      <c r="Z187" s="201"/>
      <c r="AA187" s="201"/>
      <c r="AB187" s="201"/>
      <c r="AC187" s="201"/>
      <c r="AD187" s="201"/>
      <c r="AE187" s="201"/>
      <c r="AF187" s="201"/>
      <c r="AG187" s="201"/>
      <c r="AH187" s="201"/>
      <c r="AI187" s="201"/>
      <c r="AJ187" s="201"/>
    </row>
    <row r="188" spans="1:36" hidden="1" outlineLevel="2" x14ac:dyDescent="0.25">
      <c r="A188" s="201"/>
      <c r="B188" s="201"/>
      <c r="C188" s="227"/>
      <c r="D188" s="208"/>
      <c r="E188" s="204"/>
      <c r="F188" s="205"/>
      <c r="G188" s="205"/>
      <c r="H188" s="205"/>
      <c r="I188" s="206"/>
      <c r="J188" s="206"/>
      <c r="K188" s="206"/>
      <c r="L188" s="207"/>
      <c r="M188" s="207"/>
      <c r="N188" s="207"/>
      <c r="O188" s="201"/>
      <c r="P188" s="201"/>
      <c r="Q188" s="201"/>
      <c r="R188" s="228"/>
      <c r="S188" s="228"/>
      <c r="T188" s="228"/>
      <c r="U188" s="214"/>
      <c r="V188" s="201"/>
      <c r="W188" s="201"/>
      <c r="X188" s="201"/>
      <c r="Y188" s="201"/>
      <c r="Z188" s="201"/>
      <c r="AA188" s="201"/>
      <c r="AB188" s="201"/>
      <c r="AC188" s="201"/>
      <c r="AD188" s="201"/>
      <c r="AE188" s="201"/>
      <c r="AF188" s="201"/>
      <c r="AG188" s="201"/>
      <c r="AH188" s="201"/>
      <c r="AI188" s="201"/>
      <c r="AJ188" s="201"/>
    </row>
    <row r="189" spans="1:36" hidden="1" outlineLevel="2" x14ac:dyDescent="0.25">
      <c r="A189" s="201"/>
      <c r="B189" s="201"/>
      <c r="C189" s="227"/>
      <c r="D189" s="208"/>
      <c r="E189" s="204"/>
      <c r="F189" s="205"/>
      <c r="G189" s="205"/>
      <c r="H189" s="205"/>
      <c r="I189" s="206"/>
      <c r="J189" s="206"/>
      <c r="K189" s="206"/>
      <c r="L189" s="207"/>
      <c r="M189" s="207"/>
      <c r="N189" s="207"/>
      <c r="O189" s="201"/>
      <c r="P189" s="201"/>
      <c r="Q189" s="201"/>
      <c r="R189" s="228"/>
      <c r="S189" s="228"/>
      <c r="T189" s="228"/>
      <c r="U189" s="214"/>
      <c r="V189" s="201"/>
      <c r="W189" s="201"/>
      <c r="X189" s="201"/>
      <c r="Y189" s="201"/>
      <c r="Z189" s="201"/>
      <c r="AA189" s="201"/>
      <c r="AB189" s="201"/>
      <c r="AC189" s="201"/>
      <c r="AD189" s="201"/>
      <c r="AE189" s="201"/>
      <c r="AF189" s="201"/>
      <c r="AG189" s="201"/>
      <c r="AH189" s="201"/>
      <c r="AI189" s="201"/>
      <c r="AJ189" s="201"/>
    </row>
    <row r="190" spans="1:36" hidden="1" outlineLevel="2" x14ac:dyDescent="0.25">
      <c r="A190" s="201"/>
      <c r="B190" s="201"/>
      <c r="C190" s="227"/>
      <c r="D190" s="233"/>
      <c r="E190" s="234"/>
      <c r="F190" s="235" t="s">
        <v>732</v>
      </c>
      <c r="G190" s="235" t="s">
        <v>733</v>
      </c>
      <c r="H190" s="235" t="s">
        <v>734</v>
      </c>
      <c r="I190" s="235"/>
      <c r="J190" s="235" t="s">
        <v>778</v>
      </c>
      <c r="K190" s="235"/>
      <c r="L190" s="203" t="s">
        <v>730</v>
      </c>
      <c r="M190" s="203" t="s">
        <v>731</v>
      </c>
      <c r="N190" s="236"/>
      <c r="O190" s="201"/>
      <c r="P190" s="201"/>
      <c r="Q190" s="201"/>
      <c r="R190" s="228"/>
      <c r="S190" s="228"/>
      <c r="T190" s="228"/>
      <c r="U190" s="214"/>
      <c r="V190" s="201"/>
      <c r="W190" s="201"/>
      <c r="X190" s="201"/>
      <c r="Y190" s="201"/>
      <c r="Z190" s="201"/>
      <c r="AA190" s="201"/>
      <c r="AB190" s="201"/>
      <c r="AC190" s="201"/>
      <c r="AD190" s="201"/>
      <c r="AE190" s="201"/>
      <c r="AF190" s="201"/>
      <c r="AG190" s="201"/>
      <c r="AH190" s="201"/>
      <c r="AI190" s="201"/>
      <c r="AJ190" s="201"/>
    </row>
    <row r="191" spans="1:36" hidden="1" outlineLevel="2" x14ac:dyDescent="0.25">
      <c r="A191" s="201"/>
      <c r="B191" s="201"/>
      <c r="C191" s="227"/>
      <c r="D191" s="213" t="s">
        <v>790</v>
      </c>
      <c r="E191" s="133" t="s">
        <v>870</v>
      </c>
      <c r="F191" s="79">
        <v>1.157</v>
      </c>
      <c r="G191" s="93">
        <v>0.04</v>
      </c>
      <c r="H191" s="93">
        <v>0.124</v>
      </c>
      <c r="I191" s="201"/>
      <c r="J191" s="79">
        <v>1.5</v>
      </c>
      <c r="K191" s="228"/>
      <c r="L191" s="237">
        <f>IF(ISNUMBER(J191),J191*SUM(L180:L189),SUM(L180:L189))</f>
        <v>36.203898818082685</v>
      </c>
      <c r="M191" s="237">
        <f>IF(ISNUMBER(J191),J191*SUM(M180:M189),SUM(M180:M189))</f>
        <v>7.3581845731253486</v>
      </c>
      <c r="N191" s="133"/>
      <c r="O191" s="201"/>
      <c r="P191" s="201"/>
      <c r="Q191" s="201"/>
      <c r="R191" s="228"/>
      <c r="S191" s="228"/>
      <c r="T191" s="228"/>
      <c r="U191" s="214"/>
      <c r="V191" s="201"/>
      <c r="W191" s="201"/>
      <c r="X191" s="201"/>
      <c r="Y191" s="201"/>
      <c r="Z191" s="201"/>
      <c r="AA191" s="201"/>
      <c r="AB191" s="201"/>
      <c r="AC191" s="201"/>
      <c r="AD191" s="201"/>
      <c r="AE191" s="201"/>
      <c r="AF191" s="201"/>
      <c r="AG191" s="201"/>
      <c r="AH191" s="201"/>
      <c r="AI191" s="201"/>
      <c r="AJ191" s="201"/>
    </row>
    <row r="192" spans="1:36" hidden="1" outlineLevel="2" x14ac:dyDescent="0.25">
      <c r="B192" s="201"/>
      <c r="C192" s="225"/>
      <c r="D192" s="20"/>
      <c r="E192" s="20"/>
      <c r="F192" s="20"/>
      <c r="G192" s="20"/>
      <c r="H192" s="20"/>
      <c r="I192" s="20"/>
      <c r="J192" s="20"/>
      <c r="K192" s="20"/>
      <c r="L192" s="20"/>
      <c r="M192" s="20"/>
      <c r="N192" s="20"/>
      <c r="O192" s="20"/>
      <c r="P192" s="20"/>
      <c r="Q192" s="20"/>
      <c r="R192" s="20"/>
      <c r="S192" s="20"/>
      <c r="T192" s="20"/>
      <c r="U192" s="19"/>
      <c r="W192" s="201"/>
      <c r="X192" s="201"/>
      <c r="Y192" s="201"/>
      <c r="Z192" s="201"/>
      <c r="AA192" s="201"/>
      <c r="AB192" s="201"/>
      <c r="AC192" s="201"/>
      <c r="AD192" s="201"/>
      <c r="AE192" s="201"/>
      <c r="AF192" s="201"/>
      <c r="AG192" s="201"/>
      <c r="AH192" s="201"/>
      <c r="AI192" s="201"/>
      <c r="AJ192" s="201"/>
    </row>
    <row r="193" spans="1:36" hidden="1" outlineLevel="2" x14ac:dyDescent="0.25">
      <c r="A193" s="201"/>
      <c r="B193" s="201"/>
      <c r="C193" s="227"/>
      <c r="D193" s="228">
        <f>COLUMN()</f>
        <v>4</v>
      </c>
      <c r="E193" s="228">
        <f t="shared" ref="E193:N193" si="87">COLUMN()-$D$28+1</f>
        <v>2</v>
      </c>
      <c r="F193" s="228">
        <f t="shared" si="87"/>
        <v>3</v>
      </c>
      <c r="G193" s="228">
        <f t="shared" si="87"/>
        <v>4</v>
      </c>
      <c r="H193" s="228">
        <f t="shared" si="87"/>
        <v>5</v>
      </c>
      <c r="I193" s="228">
        <f t="shared" si="87"/>
        <v>6</v>
      </c>
      <c r="J193" s="228">
        <f t="shared" si="87"/>
        <v>7</v>
      </c>
      <c r="K193" s="228">
        <f t="shared" si="87"/>
        <v>8</v>
      </c>
      <c r="L193" s="228">
        <f t="shared" si="87"/>
        <v>9</v>
      </c>
      <c r="M193" s="228">
        <f t="shared" si="87"/>
        <v>10</v>
      </c>
      <c r="N193" s="228">
        <f t="shared" si="87"/>
        <v>11</v>
      </c>
      <c r="O193" s="201"/>
      <c r="P193" s="201"/>
      <c r="Q193" s="201"/>
      <c r="R193" s="228"/>
      <c r="S193" s="228"/>
      <c r="T193" s="228"/>
      <c r="U193" s="214"/>
      <c r="V193" s="201"/>
      <c r="W193" s="201"/>
      <c r="X193" s="201"/>
      <c r="Y193" s="201"/>
      <c r="Z193" s="201"/>
      <c r="AA193" s="201"/>
      <c r="AB193" s="201"/>
      <c r="AC193" s="201"/>
      <c r="AD193" s="201"/>
      <c r="AE193" s="201"/>
      <c r="AF193" s="201"/>
      <c r="AG193" s="201"/>
      <c r="AH193" s="201"/>
      <c r="AI193" s="201"/>
      <c r="AJ193" s="201"/>
    </row>
    <row r="194" spans="1:36" ht="22.5" hidden="1" outlineLevel="1" collapsed="1" x14ac:dyDescent="0.25">
      <c r="A194" s="201"/>
      <c r="B194" s="201"/>
      <c r="C194" s="260" t="str">
        <f>D207</f>
        <v>PH Vinyl frame</v>
      </c>
      <c r="D194" s="228"/>
      <c r="E194" s="202" t="s">
        <v>82</v>
      </c>
      <c r="F194" s="202" t="str">
        <f>'Material editor'!$F$9</f>
        <v>Manfacturing energy</v>
      </c>
      <c r="G194" s="202" t="s">
        <v>149</v>
      </c>
      <c r="H194" s="202" t="str">
        <f>'Material editor'!$H$9</f>
        <v>Service life</v>
      </c>
      <c r="I194" s="202" t="s">
        <v>671</v>
      </c>
      <c r="J194" s="202" t="s">
        <v>679</v>
      </c>
      <c r="K194" s="202" t="s">
        <v>776</v>
      </c>
      <c r="L194" s="202" t="s">
        <v>143</v>
      </c>
      <c r="M194" s="202" t="s">
        <v>149</v>
      </c>
      <c r="N194" s="202" t="str">
        <f>'Material editor'!$AE$9</f>
        <v>Comment PHI</v>
      </c>
      <c r="O194" s="201"/>
      <c r="P194" s="201"/>
      <c r="Q194" s="201"/>
      <c r="R194" s="228"/>
      <c r="S194" s="228"/>
      <c r="T194" s="228"/>
      <c r="U194" s="214"/>
      <c r="V194" s="201"/>
      <c r="W194" s="201"/>
      <c r="X194" s="201"/>
      <c r="Y194" s="201"/>
      <c r="Z194" s="201"/>
      <c r="AA194" s="201"/>
      <c r="AB194" s="201"/>
      <c r="AC194" s="201"/>
      <c r="AD194" s="201"/>
      <c r="AE194" s="201"/>
      <c r="AF194" s="201"/>
      <c r="AG194" s="201"/>
      <c r="AH194" s="201"/>
      <c r="AI194" s="201"/>
      <c r="AJ194" s="201"/>
    </row>
    <row r="195" spans="1:36" hidden="1" outlineLevel="2" x14ac:dyDescent="0.25">
      <c r="A195" s="201"/>
      <c r="B195" s="201"/>
      <c r="C195" s="227"/>
      <c r="D195" s="228"/>
      <c r="E195" s="228"/>
      <c r="F195" s="203" t="s">
        <v>144</v>
      </c>
      <c r="G195" s="203" t="s">
        <v>148</v>
      </c>
      <c r="H195" s="203" t="s">
        <v>146</v>
      </c>
      <c r="I195" s="203" t="s">
        <v>672</v>
      </c>
      <c r="J195" s="203" t="s">
        <v>344</v>
      </c>
      <c r="K195" s="203" t="s">
        <v>777</v>
      </c>
      <c r="L195" s="203" t="s">
        <v>730</v>
      </c>
      <c r="M195" s="203" t="s">
        <v>731</v>
      </c>
      <c r="N195" s="228"/>
      <c r="O195" s="201"/>
      <c r="P195" s="201"/>
      <c r="Q195" s="201"/>
      <c r="R195" s="228"/>
      <c r="S195" s="228"/>
      <c r="T195" s="228"/>
      <c r="U195" s="214"/>
      <c r="V195" s="201"/>
      <c r="W195" s="201"/>
      <c r="X195" s="201"/>
      <c r="Y195" s="201"/>
      <c r="Z195" s="201"/>
      <c r="AA195" s="201"/>
      <c r="AB195" s="201"/>
      <c r="AC195" s="201"/>
      <c r="AD195" s="201"/>
      <c r="AE195" s="201"/>
      <c r="AF195" s="201"/>
      <c r="AG195" s="201"/>
      <c r="AH195" s="201"/>
      <c r="AI195" s="201"/>
      <c r="AJ195" s="201"/>
    </row>
    <row r="196" spans="1:36" hidden="1" outlineLevel="2" x14ac:dyDescent="0.25">
      <c r="A196" s="201"/>
      <c r="B196" s="201"/>
      <c r="C196" s="227"/>
      <c r="D196" s="232" t="s">
        <v>791</v>
      </c>
      <c r="E196" s="204" t="s">
        <v>1049</v>
      </c>
      <c r="F196" s="205">
        <f>IF(ISNUMBER(VLOOKUP(LEFT(E196,3),'Material editor'!$D$11:$H$110,'Material editor'!$F$8,0)),VLOOKUP(LEFT(E196,3),'Material editor'!$D$11:$H$110,'Material editor'!$F$8,0),"")</f>
        <v>13353.028746110036</v>
      </c>
      <c r="G196" s="205">
        <f>IF(ISNUMBER(VLOOKUP(LEFT(E196,3),'Material editor'!$D$11:$H$110,'Material editor'!$G$8,0)),VLOOKUP(LEFT(E196,3),'Material editor'!$D$11:$H$110,'Material editor'!$G$8,0),"")</f>
        <v>2813.1375307763001</v>
      </c>
      <c r="H196" s="205">
        <f>IF(ISNUMBER(VLOOKUP(LEFT(E196,3),'Material editor'!$D$11:$H$110,'Material editor'!$H$8,0)),VLOOKUP(LEFT(E196,3),'Material editor'!$D$11:$H$110,'Material editor'!$H$8,0),"")</f>
        <v>40</v>
      </c>
      <c r="I196" s="94">
        <v>2284</v>
      </c>
      <c r="J196" s="206"/>
      <c r="K196" s="206"/>
      <c r="L196" s="207">
        <f>F196*I196/(1000*1000)*Balance!$H$13/H196</f>
        <v>15.249158828057663</v>
      </c>
      <c r="M196" s="207">
        <f>G196*I196/(1000*1000)*Balance!$H$13/H196</f>
        <v>3.2126030601465354</v>
      </c>
      <c r="N196" s="207" t="str">
        <f>IF(ISTEXT(VLOOKUP(LEFT(E196,3),'Material editor'!$D$11:$AE$110,'Material editor'!$AE$8,0)),VLOOKUP(LEFT(E196,3),'Material editor'!$D$11:$AE$110,'Material editor'!$AE$8,0),"")</f>
        <v/>
      </c>
      <c r="O196" s="201"/>
      <c r="P196" s="201"/>
      <c r="Q196" s="201"/>
      <c r="R196" s="228"/>
      <c r="S196" s="228"/>
      <c r="T196" s="228"/>
      <c r="U196" s="214"/>
      <c r="V196" s="201"/>
      <c r="W196" s="201"/>
      <c r="X196" s="201"/>
      <c r="Y196" s="201"/>
      <c r="Z196" s="201"/>
      <c r="AA196" s="201"/>
      <c r="AB196" s="201"/>
      <c r="AC196" s="201"/>
      <c r="AD196" s="201"/>
      <c r="AE196" s="201"/>
      <c r="AF196" s="201"/>
      <c r="AG196" s="201"/>
      <c r="AH196" s="201"/>
      <c r="AI196" s="201"/>
      <c r="AJ196" s="201"/>
    </row>
    <row r="197" spans="1:36" hidden="1" outlineLevel="2" x14ac:dyDescent="0.25">
      <c r="A197" s="201"/>
      <c r="B197" s="201"/>
      <c r="C197" s="227"/>
      <c r="D197" s="232" t="s">
        <v>792</v>
      </c>
      <c r="E197" s="204" t="s">
        <v>1050</v>
      </c>
      <c r="F197" s="205">
        <f>IF(ISNUMBER(VLOOKUP(LEFT(E197,3),'Material editor'!$D$11:$H$110,'Material editor'!$F$8,0)),VLOOKUP(LEFT(E197,3),'Material editor'!$D$11:$H$110,'Material editor'!$F$8,0),"")</f>
        <v>30073.963710488388</v>
      </c>
      <c r="G197" s="205">
        <f>IF(ISNUMBER(VLOOKUP(LEFT(E197,3),'Material editor'!$D$11:$H$110,'Material editor'!$G$8,0)),VLOOKUP(LEFT(E197,3),'Material editor'!$D$11:$H$110,'Material editor'!$G$8,0),"")</f>
        <v>5398.458661622054</v>
      </c>
      <c r="H197" s="205">
        <f>IF(ISNUMBER(VLOOKUP(LEFT(E197,3),'Material editor'!$D$11:$H$110,'Material editor'!$H$8,0)),VLOOKUP(LEFT(E197,3),'Material editor'!$D$11:$H$110,'Material editor'!$H$8,0),"")</f>
        <v>40</v>
      </c>
      <c r="I197" s="94">
        <v>279</v>
      </c>
      <c r="J197" s="206"/>
      <c r="K197" s="206"/>
      <c r="L197" s="207">
        <f>F197*I197/(1000*1000)*Balance!$H$13/H197</f>
        <v>4.1953179376131304</v>
      </c>
      <c r="M197" s="207">
        <f>G197*I197/(1000*1000)*Balance!$H$13/H197</f>
        <v>0.75308498329627649</v>
      </c>
      <c r="N197" s="207" t="str">
        <f>IF(ISTEXT(VLOOKUP(LEFT(E197,3),'Material editor'!$D$11:$AE$110,'Material editor'!$AE$8,0)),VLOOKUP(LEFT(E197,3),'Material editor'!$D$11:$AE$110,'Material editor'!$AE$8,0),"")</f>
        <v/>
      </c>
      <c r="O197" s="201"/>
      <c r="P197" s="201"/>
      <c r="Q197" s="201"/>
      <c r="R197" s="228"/>
      <c r="S197" s="228"/>
      <c r="T197" s="228"/>
      <c r="U197" s="214"/>
      <c r="V197" s="201"/>
      <c r="W197" s="201"/>
      <c r="X197" s="201"/>
      <c r="Y197" s="201"/>
      <c r="Z197" s="201"/>
      <c r="AA197" s="201"/>
      <c r="AB197" s="201"/>
      <c r="AC197" s="201"/>
      <c r="AD197" s="201"/>
      <c r="AE197" s="201"/>
      <c r="AF197" s="201"/>
      <c r="AG197" s="201"/>
      <c r="AH197" s="201"/>
      <c r="AI197" s="201"/>
      <c r="AJ197" s="201"/>
    </row>
    <row r="198" spans="1:36" hidden="1" outlineLevel="2" x14ac:dyDescent="0.25">
      <c r="A198" s="201"/>
      <c r="B198" s="201"/>
      <c r="C198" s="227"/>
      <c r="D198" s="232" t="s">
        <v>827</v>
      </c>
      <c r="E198" s="204" t="s">
        <v>826</v>
      </c>
      <c r="F198" s="205">
        <f>IF(ISNUMBER(VLOOKUP(LEFT(E198,3),'Material editor'!$D$11:$H$110,'Material editor'!$F$8,0)),VLOOKUP(LEFT(E198,3),'Material editor'!$D$11:$H$110,'Material editor'!$F$8,0),"")</f>
        <v>11445.45321095146</v>
      </c>
      <c r="G198" s="205">
        <f>IF(ISNUMBER(VLOOKUP(LEFT(E198,3),'Material editor'!$D$11:$H$110,'Material editor'!$G$8,0)),VLOOKUP(LEFT(E198,3),'Material editor'!$D$11:$H$110,'Material editor'!$G$8,0),"")</f>
        <v>2411.2607406654001</v>
      </c>
      <c r="H198" s="205">
        <f>IF(ISNUMBER(VLOOKUP(LEFT(E198,3),'Material editor'!$D$11:$H$110,'Material editor'!$H$8,0)),VLOOKUP(LEFT(E198,3),'Material editor'!$D$11:$H$110,'Material editor'!$H$8,0),"")</f>
        <v>20</v>
      </c>
      <c r="I198" s="94">
        <v>245</v>
      </c>
      <c r="J198" s="206"/>
      <c r="K198" s="206"/>
      <c r="L198" s="207">
        <f>F198*I198/(1000*1000)*Balance!$H$13/H198</f>
        <v>2.8041360366831078</v>
      </c>
      <c r="M198" s="207">
        <f>G198*I198/(1000*1000)*Balance!$H$13/H198</f>
        <v>0.59075888146302302</v>
      </c>
      <c r="N198" s="207" t="str">
        <f>IF(ISTEXT(VLOOKUP(LEFT(E198,3),'Material editor'!$D$11:$AE$110,'Material editor'!$AE$8,0)),VLOOKUP(LEFT(E198,3),'Material editor'!$D$11:$AE$110,'Material editor'!$AE$8,0),"")</f>
        <v/>
      </c>
      <c r="O198" s="201"/>
      <c r="P198" s="201"/>
      <c r="Q198" s="201"/>
      <c r="R198" s="228"/>
      <c r="S198" s="228"/>
      <c r="T198" s="228"/>
      <c r="U198" s="214"/>
      <c r="V198" s="201"/>
      <c r="W198" s="201"/>
      <c r="X198" s="201"/>
      <c r="Y198" s="201"/>
      <c r="Z198" s="201"/>
      <c r="AA198" s="201"/>
      <c r="AB198" s="201"/>
      <c r="AC198" s="201"/>
      <c r="AD198" s="201"/>
      <c r="AE198" s="201"/>
      <c r="AF198" s="201"/>
      <c r="AG198" s="201"/>
      <c r="AH198" s="201"/>
      <c r="AI198" s="201"/>
      <c r="AJ198" s="201"/>
    </row>
    <row r="199" spans="1:36" hidden="1" outlineLevel="2" x14ac:dyDescent="0.25">
      <c r="A199" s="201"/>
      <c r="B199" s="201"/>
      <c r="C199" s="227"/>
      <c r="D199" s="232" t="s">
        <v>678</v>
      </c>
      <c r="E199" s="204" t="s">
        <v>1045</v>
      </c>
      <c r="F199" s="205">
        <f>IF(ISNUMBER(VLOOKUP(LEFT(E199,3),'Material editor'!$D$11:$H$110,'Material editor'!$F$8,0)),VLOOKUP(LEFT(E199,3),'Material editor'!$D$11:$H$110,'Material editor'!$F$8,0),"")</f>
        <v>31554.72432133375</v>
      </c>
      <c r="G199" s="205">
        <f>IF(ISNUMBER(VLOOKUP(LEFT(E199,3),'Material editor'!$D$11:$H$110,'Material editor'!$G$8,0)),VLOOKUP(LEFT(E199,3),'Material editor'!$D$11:$H$110,'Material editor'!$G$8,0),"")</f>
        <v>7570.5013256411439</v>
      </c>
      <c r="H199" s="205">
        <f>IF(ISNUMBER(VLOOKUP(LEFT(E199,3),'Material editor'!$D$11:$H$110,'Material editor'!$H$8,0)),VLOOKUP(LEFT(E199,3),'Material editor'!$D$11:$H$110,'Material editor'!$H$8,0),"")</f>
        <v>40</v>
      </c>
      <c r="I199" s="94">
        <v>50</v>
      </c>
      <c r="J199" s="206"/>
      <c r="K199" s="206"/>
      <c r="L199" s="207">
        <f>F199*I199/(1000*1000)*Balance!$H$13/H199</f>
        <v>0.78886810803334373</v>
      </c>
      <c r="M199" s="207">
        <f>G199*I199/(1000*1000)*Balance!$H$13/H199</f>
        <v>0.18926253314102859</v>
      </c>
      <c r="N199" s="207" t="str">
        <f>IF(ISTEXT(VLOOKUP(LEFT(E199,3),'Material editor'!$D$11:$AE$110,'Material editor'!$AE$8,0)),VLOOKUP(LEFT(E199,3),'Material editor'!$D$11:$AE$110,'Material editor'!$AE$8,0),"")</f>
        <v/>
      </c>
      <c r="O199" s="201"/>
      <c r="P199" s="201"/>
      <c r="Q199" s="201"/>
      <c r="R199" s="228"/>
      <c r="S199" s="228"/>
      <c r="T199" s="228"/>
      <c r="U199" s="214"/>
      <c r="V199" s="201"/>
      <c r="W199" s="201"/>
      <c r="X199" s="201"/>
      <c r="Y199" s="201"/>
      <c r="Z199" s="201"/>
      <c r="AA199" s="201"/>
      <c r="AB199" s="201"/>
      <c r="AC199" s="201"/>
      <c r="AD199" s="201"/>
      <c r="AE199" s="201"/>
      <c r="AF199" s="201"/>
      <c r="AG199" s="201"/>
      <c r="AH199" s="201"/>
      <c r="AI199" s="201"/>
      <c r="AJ199" s="201"/>
    </row>
    <row r="200" spans="1:36" hidden="1" outlineLevel="2" x14ac:dyDescent="0.25">
      <c r="A200" s="201"/>
      <c r="B200" s="201"/>
      <c r="C200" s="227"/>
      <c r="D200" s="232" t="s">
        <v>823</v>
      </c>
      <c r="E200" s="204" t="s">
        <v>1044</v>
      </c>
      <c r="F200" s="205">
        <f>IF(ISNUMBER(VLOOKUP(LEFT(E200,3),'Material editor'!$D$11:$H$110,'Material editor'!$F$8,0)),VLOOKUP(LEFT(E200,3),'Material editor'!$D$11:$H$110,'Material editor'!$F$8,0),"")</f>
        <v>56758.989170428904</v>
      </c>
      <c r="G200" s="205">
        <f>IF(ISNUMBER(VLOOKUP(LEFT(E200,3),'Material editor'!$D$11:$H$110,'Material editor'!$G$8,0)),VLOOKUP(LEFT(E200,3),'Material editor'!$D$11:$H$110,'Material editor'!$G$8,0),"")</f>
        <v>10071.17420653871</v>
      </c>
      <c r="H200" s="205">
        <f>IF(ISNUMBER(VLOOKUP(LEFT(E200,3),'Material editor'!$D$11:$H$110,'Material editor'!$H$8,0)),VLOOKUP(LEFT(E200,3),'Material editor'!$D$11:$H$110,'Material editor'!$H$8,0),"")</f>
        <v>40</v>
      </c>
      <c r="I200" s="94">
        <v>111</v>
      </c>
      <c r="J200" s="206"/>
      <c r="K200" s="206"/>
      <c r="L200" s="207">
        <f>F200*I200/(1000*1000)*Balance!$H$13/H200</f>
        <v>3.1501238989588041</v>
      </c>
      <c r="M200" s="207">
        <f>G200*I200/(1000*1000)*Balance!$H$13/H200</f>
        <v>0.55895016846289836</v>
      </c>
      <c r="N200" s="207"/>
      <c r="O200" s="201"/>
      <c r="P200" s="201"/>
      <c r="Q200" s="201"/>
      <c r="R200" s="228"/>
      <c r="S200" s="228"/>
      <c r="T200" s="228"/>
      <c r="U200" s="214"/>
      <c r="V200" s="201"/>
      <c r="W200" s="201"/>
      <c r="X200" s="201"/>
      <c r="Y200" s="201"/>
      <c r="Z200" s="201"/>
      <c r="AA200" s="201"/>
      <c r="AB200" s="201"/>
      <c r="AC200" s="201"/>
      <c r="AD200" s="201"/>
      <c r="AE200" s="201"/>
      <c r="AF200" s="201"/>
      <c r="AG200" s="201"/>
      <c r="AH200" s="201"/>
      <c r="AI200" s="201"/>
      <c r="AJ200" s="201"/>
    </row>
    <row r="201" spans="1:36" hidden="1" outlineLevel="2" x14ac:dyDescent="0.25">
      <c r="A201" s="201"/>
      <c r="B201" s="201"/>
      <c r="C201" s="227"/>
      <c r="D201" s="232" t="s">
        <v>829</v>
      </c>
      <c r="E201" s="204" t="s">
        <v>1007</v>
      </c>
      <c r="F201" s="205">
        <f>IF(ISNUMBER(VLOOKUP(LEFT(E201,3),'Material editor'!$D$11:$H$110,'Material editor'!$F$8,0)),VLOOKUP(LEFT(E201,3),'Material editor'!$D$11:$H$110,'Material editor'!$F$8,0),"")</f>
        <v>217.89999999999998</v>
      </c>
      <c r="G201" s="205">
        <f>IF(ISNUMBER(VLOOKUP(LEFT(E201,3),'Material editor'!$D$11:$H$110,'Material editor'!$G$8,0)),VLOOKUP(LEFT(E201,3),'Material editor'!$D$11:$H$110,'Material editor'!$G$8,0),"")</f>
        <v>49.7</v>
      </c>
      <c r="H201" s="205">
        <f>IF(ISNUMBER(VLOOKUP(LEFT(E201,3),'Material editor'!$D$11:$H$110,'Material editor'!$H$8,0)),VLOOKUP(LEFT(E201,3),'Material editor'!$D$11:$H$110,'Material editor'!$H$8,0),"")</f>
        <v>40</v>
      </c>
      <c r="I201" s="94">
        <v>2654</v>
      </c>
      <c r="J201" s="206"/>
      <c r="K201" s="206"/>
      <c r="L201" s="207">
        <f>F201*I201/(1000*1000)*Balance!$H$13/H201</f>
        <v>0.2891533</v>
      </c>
      <c r="M201" s="207">
        <f>G201*I201/(1000*1000)*Balance!$H$13/H201</f>
        <v>6.5951900000000008E-2</v>
      </c>
      <c r="N201" s="207"/>
      <c r="O201" s="201"/>
      <c r="P201" s="201"/>
      <c r="Q201" s="201"/>
      <c r="R201" s="228"/>
      <c r="S201" s="228"/>
      <c r="T201" s="228"/>
      <c r="U201" s="214"/>
      <c r="V201" s="201"/>
      <c r="W201" s="201"/>
      <c r="X201" s="201"/>
      <c r="Y201" s="201"/>
      <c r="Z201" s="201"/>
      <c r="AA201" s="201"/>
      <c r="AB201" s="201"/>
      <c r="AC201" s="201"/>
      <c r="AD201" s="201"/>
      <c r="AE201" s="201"/>
      <c r="AF201" s="201"/>
      <c r="AG201" s="201"/>
      <c r="AH201" s="201"/>
      <c r="AI201" s="201"/>
      <c r="AJ201" s="201"/>
    </row>
    <row r="202" spans="1:36" hidden="1" outlineLevel="2" x14ac:dyDescent="0.25">
      <c r="A202" s="201"/>
      <c r="B202" s="201"/>
      <c r="C202" s="227"/>
      <c r="D202" s="208"/>
      <c r="E202" s="204"/>
      <c r="F202" s="205"/>
      <c r="G202" s="205"/>
      <c r="H202" s="205"/>
      <c r="I202" s="206"/>
      <c r="J202" s="206"/>
      <c r="K202" s="206"/>
      <c r="L202" s="207"/>
      <c r="M202" s="207"/>
      <c r="N202" s="207"/>
      <c r="O202" s="201"/>
      <c r="P202" s="201"/>
      <c r="Q202" s="201"/>
      <c r="R202" s="228"/>
      <c r="S202" s="228"/>
      <c r="T202" s="228"/>
      <c r="U202" s="214"/>
      <c r="V202" s="201"/>
      <c r="W202" s="201"/>
      <c r="X202" s="201"/>
      <c r="Y202" s="201"/>
      <c r="Z202" s="201"/>
      <c r="AA202" s="201"/>
      <c r="AB202" s="201"/>
      <c r="AC202" s="201"/>
      <c r="AD202" s="201"/>
      <c r="AE202" s="201"/>
      <c r="AF202" s="201"/>
      <c r="AG202" s="201"/>
      <c r="AH202" s="201"/>
      <c r="AI202" s="201"/>
      <c r="AJ202" s="201"/>
    </row>
    <row r="203" spans="1:36" hidden="1" outlineLevel="2" x14ac:dyDescent="0.25">
      <c r="A203" s="201"/>
      <c r="B203" s="201"/>
      <c r="C203" s="227"/>
      <c r="D203" s="208"/>
      <c r="E203" s="204"/>
      <c r="F203" s="205"/>
      <c r="G203" s="205"/>
      <c r="H203" s="205"/>
      <c r="I203" s="206"/>
      <c r="J203" s="206"/>
      <c r="K203" s="206"/>
      <c r="L203" s="207"/>
      <c r="M203" s="207"/>
      <c r="N203" s="207"/>
      <c r="O203" s="201"/>
      <c r="P203" s="201"/>
      <c r="Q203" s="201"/>
      <c r="R203" s="228"/>
      <c r="S203" s="228"/>
      <c r="T203" s="228"/>
      <c r="U203" s="214"/>
      <c r="V203" s="201"/>
      <c r="W203" s="201"/>
      <c r="X203" s="201"/>
      <c r="Y203" s="201"/>
      <c r="Z203" s="201"/>
      <c r="AA203" s="201"/>
      <c r="AB203" s="201"/>
      <c r="AC203" s="201"/>
      <c r="AD203" s="201"/>
      <c r="AE203" s="201"/>
      <c r="AF203" s="201"/>
      <c r="AG203" s="201"/>
      <c r="AH203" s="201"/>
      <c r="AI203" s="201"/>
      <c r="AJ203" s="201"/>
    </row>
    <row r="204" spans="1:36" hidden="1" outlineLevel="2" x14ac:dyDescent="0.25">
      <c r="A204" s="201"/>
      <c r="B204" s="201"/>
      <c r="C204" s="227"/>
      <c r="D204" s="208"/>
      <c r="E204" s="204"/>
      <c r="F204" s="205"/>
      <c r="G204" s="205"/>
      <c r="H204" s="205"/>
      <c r="I204" s="206"/>
      <c r="J204" s="206"/>
      <c r="K204" s="206"/>
      <c r="L204" s="207"/>
      <c r="M204" s="207"/>
      <c r="N204" s="207"/>
      <c r="O204" s="201"/>
      <c r="P204" s="201"/>
      <c r="Q204" s="201"/>
      <c r="R204" s="228"/>
      <c r="S204" s="228"/>
      <c r="T204" s="228"/>
      <c r="U204" s="214"/>
      <c r="V204" s="201"/>
      <c r="W204" s="201"/>
      <c r="X204" s="201"/>
      <c r="Y204" s="201"/>
      <c r="Z204" s="201"/>
      <c r="AA204" s="201"/>
      <c r="AB204" s="201"/>
      <c r="AC204" s="201"/>
      <c r="AD204" s="201"/>
      <c r="AE204" s="201"/>
      <c r="AF204" s="201"/>
      <c r="AG204" s="201"/>
      <c r="AH204" s="201"/>
      <c r="AI204" s="201"/>
      <c r="AJ204" s="201"/>
    </row>
    <row r="205" spans="1:36" hidden="1" outlineLevel="2" x14ac:dyDescent="0.25">
      <c r="A205" s="201"/>
      <c r="B205" s="201"/>
      <c r="C205" s="227"/>
      <c r="D205" s="208"/>
      <c r="E205" s="204"/>
      <c r="F205" s="205"/>
      <c r="G205" s="205"/>
      <c r="H205" s="205"/>
      <c r="I205" s="206"/>
      <c r="J205" s="206"/>
      <c r="K205" s="206"/>
      <c r="L205" s="207"/>
      <c r="M205" s="207"/>
      <c r="N205" s="207"/>
      <c r="O205" s="201"/>
      <c r="P205" s="201"/>
      <c r="Q205" s="201"/>
      <c r="R205" s="228"/>
      <c r="S205" s="228"/>
      <c r="T205" s="228"/>
      <c r="U205" s="214"/>
      <c r="V205" s="201"/>
      <c r="W205" s="201"/>
      <c r="X205" s="201"/>
      <c r="Y205" s="201"/>
      <c r="Z205" s="201"/>
      <c r="AA205" s="201"/>
      <c r="AB205" s="201"/>
      <c r="AC205" s="201"/>
      <c r="AD205" s="201"/>
      <c r="AE205" s="201"/>
      <c r="AF205" s="201"/>
      <c r="AG205" s="201"/>
      <c r="AH205" s="201"/>
      <c r="AI205" s="201"/>
      <c r="AJ205" s="201"/>
    </row>
    <row r="206" spans="1:36" hidden="1" outlineLevel="2" x14ac:dyDescent="0.25">
      <c r="A206" s="201"/>
      <c r="B206" s="201"/>
      <c r="C206" s="227"/>
      <c r="D206" s="233"/>
      <c r="E206" s="234"/>
      <c r="F206" s="235" t="s">
        <v>732</v>
      </c>
      <c r="G206" s="235" t="s">
        <v>733</v>
      </c>
      <c r="H206" s="235" t="s">
        <v>734</v>
      </c>
      <c r="I206" s="235"/>
      <c r="J206" s="235" t="s">
        <v>778</v>
      </c>
      <c r="K206" s="235"/>
      <c r="L206" s="203" t="s">
        <v>730</v>
      </c>
      <c r="M206" s="203" t="s">
        <v>731</v>
      </c>
      <c r="N206" s="236"/>
      <c r="O206" s="201"/>
      <c r="P206" s="201"/>
      <c r="Q206" s="201"/>
      <c r="R206" s="228"/>
      <c r="S206" s="228"/>
      <c r="T206" s="228"/>
      <c r="U206" s="214"/>
      <c r="V206" s="201"/>
      <c r="W206" s="201"/>
      <c r="X206" s="201"/>
      <c r="Y206" s="201"/>
      <c r="Z206" s="201"/>
      <c r="AA206" s="201"/>
      <c r="AB206" s="201"/>
      <c r="AC206" s="201"/>
      <c r="AD206" s="201"/>
      <c r="AE206" s="201"/>
      <c r="AF206" s="201"/>
      <c r="AG206" s="201"/>
      <c r="AH206" s="201"/>
      <c r="AI206" s="201"/>
      <c r="AJ206" s="201"/>
    </row>
    <row r="207" spans="1:36" hidden="1" outlineLevel="2" x14ac:dyDescent="0.25">
      <c r="A207" s="201"/>
      <c r="B207" s="201"/>
      <c r="C207" s="227"/>
      <c r="D207" s="213" t="s">
        <v>824</v>
      </c>
      <c r="E207" s="133" t="s">
        <v>871</v>
      </c>
      <c r="F207" s="79">
        <v>0.82099999999999995</v>
      </c>
      <c r="G207" s="93">
        <v>3.4000000000000002E-2</v>
      </c>
      <c r="H207" s="93">
        <v>0.11899999999999999</v>
      </c>
      <c r="I207" s="201"/>
      <c r="J207" s="79">
        <v>1.5</v>
      </c>
      <c r="K207" s="228"/>
      <c r="L207" s="237">
        <f>IF(ISNUMBER(J207),J207*SUM(L196:L205),SUM(L196:L205))</f>
        <v>39.715137164019069</v>
      </c>
      <c r="M207" s="237">
        <f>IF(ISNUMBER(J207),J207*SUM(M196:M205),SUM(M196:M205))</f>
        <v>8.0559172897646416</v>
      </c>
      <c r="N207" s="133"/>
      <c r="O207" s="201"/>
      <c r="P207" s="201"/>
      <c r="Q207" s="201"/>
      <c r="R207" s="228"/>
      <c r="S207" s="228"/>
      <c r="T207" s="228"/>
      <c r="U207" s="214"/>
      <c r="V207" s="201"/>
      <c r="W207" s="201"/>
      <c r="X207" s="201"/>
      <c r="Y207" s="201"/>
      <c r="Z207" s="201"/>
      <c r="AA207" s="201"/>
      <c r="AB207" s="201"/>
      <c r="AC207" s="201"/>
      <c r="AD207" s="201"/>
      <c r="AE207" s="201"/>
      <c r="AF207" s="201"/>
      <c r="AG207" s="201"/>
      <c r="AH207" s="201"/>
      <c r="AI207" s="201"/>
      <c r="AJ207" s="201"/>
    </row>
    <row r="208" spans="1:36" hidden="1" outlineLevel="2" x14ac:dyDescent="0.25">
      <c r="B208" s="201"/>
      <c r="C208" s="225"/>
      <c r="D208" s="20"/>
      <c r="E208" s="20"/>
      <c r="F208" s="20"/>
      <c r="G208" s="20"/>
      <c r="H208" s="20"/>
      <c r="I208" s="20"/>
      <c r="J208" s="20"/>
      <c r="K208" s="20"/>
      <c r="L208" s="20"/>
      <c r="M208" s="20"/>
      <c r="N208" s="20"/>
      <c r="O208" s="20"/>
      <c r="P208" s="20"/>
      <c r="Q208" s="20"/>
      <c r="R208" s="20"/>
      <c r="S208" s="20"/>
      <c r="T208" s="20"/>
      <c r="U208" s="19"/>
      <c r="W208" s="201"/>
      <c r="X208" s="201"/>
      <c r="Y208" s="201"/>
      <c r="Z208" s="201"/>
      <c r="AA208" s="201"/>
      <c r="AB208" s="201"/>
      <c r="AC208" s="201"/>
      <c r="AD208" s="201"/>
      <c r="AE208" s="201"/>
      <c r="AF208" s="201"/>
      <c r="AG208" s="201"/>
      <c r="AH208" s="201"/>
      <c r="AI208" s="201"/>
      <c r="AJ208" s="201"/>
    </row>
    <row r="209" spans="1:36" hidden="1" outlineLevel="2" x14ac:dyDescent="0.25">
      <c r="A209" s="201"/>
      <c r="B209" s="201"/>
      <c r="C209" s="227"/>
      <c r="D209" s="228">
        <f>COLUMN()</f>
        <v>4</v>
      </c>
      <c r="E209" s="228">
        <f t="shared" ref="E209:N209" si="88">COLUMN()-$D$28+1</f>
        <v>2</v>
      </c>
      <c r="F209" s="228">
        <f t="shared" si="88"/>
        <v>3</v>
      </c>
      <c r="G209" s="228">
        <f t="shared" si="88"/>
        <v>4</v>
      </c>
      <c r="H209" s="228">
        <f t="shared" si="88"/>
        <v>5</v>
      </c>
      <c r="I209" s="228">
        <f t="shared" si="88"/>
        <v>6</v>
      </c>
      <c r="J209" s="228">
        <f t="shared" si="88"/>
        <v>7</v>
      </c>
      <c r="K209" s="228">
        <f t="shared" si="88"/>
        <v>8</v>
      </c>
      <c r="L209" s="228">
        <f t="shared" si="88"/>
        <v>9</v>
      </c>
      <c r="M209" s="228">
        <f t="shared" si="88"/>
        <v>10</v>
      </c>
      <c r="N209" s="228">
        <f t="shared" si="88"/>
        <v>11</v>
      </c>
      <c r="O209" s="201"/>
      <c r="P209" s="201"/>
      <c r="Q209" s="201"/>
      <c r="R209" s="228"/>
      <c r="S209" s="228"/>
      <c r="T209" s="228"/>
      <c r="U209" s="214"/>
      <c r="V209" s="201"/>
      <c r="W209" s="201"/>
      <c r="X209" s="201"/>
      <c r="Y209" s="201"/>
      <c r="Z209" s="201"/>
      <c r="AA209" s="201"/>
      <c r="AB209" s="201"/>
      <c r="AC209" s="201"/>
      <c r="AD209" s="201"/>
      <c r="AE209" s="201"/>
      <c r="AF209" s="201"/>
      <c r="AG209" s="201"/>
      <c r="AH209" s="201"/>
      <c r="AI209" s="201"/>
      <c r="AJ209" s="201"/>
    </row>
    <row r="210" spans="1:36" ht="22.5" hidden="1" outlineLevel="1" collapsed="1" x14ac:dyDescent="0.25">
      <c r="A210" s="201"/>
      <c r="B210" s="201"/>
      <c r="C210" s="260" t="str">
        <f>D223</f>
        <v>Generic Vinyl frame</v>
      </c>
      <c r="D210" s="228"/>
      <c r="E210" s="202" t="s">
        <v>82</v>
      </c>
      <c r="F210" s="202" t="str">
        <f>'Material editor'!$F$9</f>
        <v>Manfacturing energy</v>
      </c>
      <c r="G210" s="202" t="s">
        <v>149</v>
      </c>
      <c r="H210" s="202" t="str">
        <f>'Material editor'!$H$9</f>
        <v>Service life</v>
      </c>
      <c r="I210" s="202" t="s">
        <v>671</v>
      </c>
      <c r="J210" s="202" t="s">
        <v>679</v>
      </c>
      <c r="K210" s="202" t="s">
        <v>776</v>
      </c>
      <c r="L210" s="202" t="s">
        <v>143</v>
      </c>
      <c r="M210" s="202" t="s">
        <v>149</v>
      </c>
      <c r="N210" s="202" t="str">
        <f>'Material editor'!$AE$9</f>
        <v>Comment PHI</v>
      </c>
      <c r="O210" s="201"/>
      <c r="P210" s="201"/>
      <c r="Q210" s="201"/>
      <c r="R210" s="228"/>
      <c r="S210" s="228"/>
      <c r="T210" s="228"/>
      <c r="U210" s="214"/>
      <c r="V210" s="201"/>
      <c r="W210" s="201"/>
      <c r="X210" s="201"/>
      <c r="Y210" s="201"/>
      <c r="Z210" s="201"/>
      <c r="AA210" s="201"/>
      <c r="AB210" s="201"/>
      <c r="AC210" s="201"/>
      <c r="AD210" s="201"/>
      <c r="AE210" s="201"/>
      <c r="AF210" s="201"/>
      <c r="AG210" s="201"/>
      <c r="AH210" s="201"/>
      <c r="AI210" s="201"/>
      <c r="AJ210" s="201"/>
    </row>
    <row r="211" spans="1:36" hidden="1" outlineLevel="2" x14ac:dyDescent="0.25">
      <c r="A211" s="201"/>
      <c r="B211" s="201"/>
      <c r="C211" s="227"/>
      <c r="D211" s="228"/>
      <c r="E211" s="228"/>
      <c r="F211" s="203" t="s">
        <v>144</v>
      </c>
      <c r="G211" s="203" t="s">
        <v>148</v>
      </c>
      <c r="H211" s="203" t="s">
        <v>146</v>
      </c>
      <c r="I211" s="203" t="s">
        <v>672</v>
      </c>
      <c r="J211" s="203" t="s">
        <v>344</v>
      </c>
      <c r="K211" s="203" t="s">
        <v>777</v>
      </c>
      <c r="L211" s="203" t="s">
        <v>730</v>
      </c>
      <c r="M211" s="203" t="s">
        <v>731</v>
      </c>
      <c r="N211" s="228"/>
      <c r="O211" s="201"/>
      <c r="P211" s="201"/>
      <c r="Q211" s="201"/>
      <c r="R211" s="228"/>
      <c r="S211" s="228"/>
      <c r="T211" s="228"/>
      <c r="U211" s="214"/>
      <c r="V211" s="201"/>
      <c r="W211" s="201"/>
      <c r="X211" s="201"/>
      <c r="Y211" s="201"/>
      <c r="Z211" s="201"/>
      <c r="AA211" s="201"/>
      <c r="AB211" s="201"/>
      <c r="AC211" s="201"/>
      <c r="AD211" s="201"/>
      <c r="AE211" s="201"/>
      <c r="AF211" s="201"/>
      <c r="AG211" s="201"/>
      <c r="AH211" s="201"/>
      <c r="AI211" s="201"/>
      <c r="AJ211" s="201"/>
    </row>
    <row r="212" spans="1:36" hidden="1" outlineLevel="2" x14ac:dyDescent="0.25">
      <c r="A212" s="201"/>
      <c r="B212" s="201"/>
      <c r="C212" s="227"/>
      <c r="D212" s="232" t="s">
        <v>866</v>
      </c>
      <c r="E212" s="204" t="s">
        <v>1051</v>
      </c>
      <c r="F212" s="205">
        <f>IF(ISNUMBER(VLOOKUP(LEFT(E212,3),'Material editor'!$D$11:$H$110,'Material editor'!$F$8,0)),VLOOKUP(LEFT(E212,3),'Material editor'!$D$11:$H$110,'Material editor'!$F$8,0),"")</f>
        <v>41.774398078869332</v>
      </c>
      <c r="G212" s="205">
        <f>IF(ISNUMBER(VLOOKUP(LEFT(E212,3),'Material editor'!$D$11:$H$110,'Material editor'!$G$8,0)),VLOOKUP(LEFT(E212,3),'Material editor'!$D$11:$H$110,'Material editor'!$G$8,0),"")</f>
        <v>9.4424096538281805</v>
      </c>
      <c r="H212" s="205">
        <f>IF(ISNUMBER(VLOOKUP(LEFT(E212,3),'Material editor'!$D$11:$H$110,'Material editor'!$H$8,0)),VLOOKUP(LEFT(E212,3),'Material editor'!$D$11:$H$110,'Material editor'!$H$8,0),"")</f>
        <v>40</v>
      </c>
      <c r="I212" s="94">
        <f>1000*1000</f>
        <v>1000000</v>
      </c>
      <c r="J212" s="206"/>
      <c r="K212" s="206"/>
      <c r="L212" s="207">
        <f>F212*I212/(1000*1000)*Balance!$H$13/H212</f>
        <v>20.887199039434666</v>
      </c>
      <c r="M212" s="207">
        <f>G212*I212/(1000*1000)*Balance!$H$13/H212</f>
        <v>4.7212048269140903</v>
      </c>
      <c r="N212" s="207" t="str">
        <f>IF(ISTEXT(VLOOKUP(LEFT(E212,3),'Material editor'!$D$11:$AE$110,'Material editor'!$AE$8,0)),VLOOKUP(LEFT(E212,3),'Material editor'!$D$11:$AE$110,'Material editor'!$AE$8,0),"")</f>
        <v>kk 2022-04-19: according to description:PVC-profil mit Aussteifung, 3,1 kg/m</v>
      </c>
      <c r="O212" s="201"/>
      <c r="P212" s="201"/>
      <c r="Q212" s="201"/>
      <c r="R212" s="228"/>
      <c r="S212" s="228"/>
      <c r="T212" s="228"/>
      <c r="U212" s="214"/>
      <c r="V212" s="201"/>
      <c r="W212" s="201"/>
      <c r="X212" s="201"/>
      <c r="Y212" s="201"/>
      <c r="Z212" s="201"/>
      <c r="AA212" s="201"/>
      <c r="AB212" s="201"/>
      <c r="AC212" s="201"/>
      <c r="AD212" s="201"/>
      <c r="AE212" s="201"/>
      <c r="AF212" s="201"/>
      <c r="AG212" s="201"/>
      <c r="AH212" s="201"/>
      <c r="AI212" s="201"/>
      <c r="AJ212" s="201"/>
    </row>
    <row r="213" spans="1:36" hidden="1" outlineLevel="2" x14ac:dyDescent="0.25">
      <c r="A213" s="201"/>
      <c r="B213" s="201"/>
      <c r="C213" s="227"/>
      <c r="D213" s="232" t="s">
        <v>867</v>
      </c>
      <c r="E213" s="204" t="s">
        <v>1052</v>
      </c>
      <c r="F213" s="205">
        <f>IF(ISNUMBER(VLOOKUP(LEFT(E213,3),'Material editor'!$D$11:$H$110,'Material editor'!$F$8,0)),VLOOKUP(LEFT(E213,3),'Material editor'!$D$11:$H$110,'Material editor'!$F$8,0),"")</f>
        <v>36.030698711884554</v>
      </c>
      <c r="G213" s="205">
        <f>IF(ISNUMBER(VLOOKUP(LEFT(E213,3),'Material editor'!$D$11:$H$110,'Material editor'!$G$8,0)),VLOOKUP(LEFT(E213,3),'Material editor'!$D$11:$H$110,'Material editor'!$G$8,0),"")</f>
        <v>8.4254129465164294</v>
      </c>
      <c r="H213" s="205">
        <f>IF(ISNUMBER(VLOOKUP(LEFT(E213,3),'Material editor'!$D$11:$H$110,'Material editor'!$H$8,0)),VLOOKUP(LEFT(E213,3),'Material editor'!$D$11:$H$110,'Material editor'!$H$8,0),"")</f>
        <v>40</v>
      </c>
      <c r="I213" s="94">
        <f>1000*1000</f>
        <v>1000000</v>
      </c>
      <c r="J213" s="206"/>
      <c r="K213" s="206"/>
      <c r="L213" s="207">
        <f>F213*I213/(1000*1000)*Balance!$H$13/H213</f>
        <v>18.015349355942277</v>
      </c>
      <c r="M213" s="207">
        <f>G213*I213/(1000*1000)*Balance!$H$13/H213</f>
        <v>4.2127064732582147</v>
      </c>
      <c r="N213" s="207" t="str">
        <f>IF(ISTEXT(VLOOKUP(LEFT(E213,3),'Material editor'!$D$11:$AE$110,'Material editor'!$AE$8,0)),VLOOKUP(LEFT(E213,3),'Material editor'!$D$11:$AE$110,'Material editor'!$AE$8,0),"")</f>
        <v>kk 2022-04-19: according to description:PVC-profil mit Aussteifung, 2,8 kg/m</v>
      </c>
      <c r="O213" s="201"/>
      <c r="P213" s="201"/>
      <c r="Q213" s="201"/>
      <c r="R213" s="228"/>
      <c r="S213" s="228"/>
      <c r="T213" s="228"/>
      <c r="U213" s="214"/>
      <c r="V213" s="201"/>
      <c r="W213" s="201"/>
      <c r="X213" s="201"/>
      <c r="Y213" s="201"/>
      <c r="Z213" s="201"/>
      <c r="AA213" s="201"/>
      <c r="AB213" s="201"/>
      <c r="AC213" s="201"/>
      <c r="AD213" s="201"/>
      <c r="AE213" s="201"/>
      <c r="AF213" s="201"/>
      <c r="AG213" s="201"/>
      <c r="AH213" s="201"/>
      <c r="AI213" s="201"/>
      <c r="AJ213" s="201"/>
    </row>
    <row r="214" spans="1:36" hidden="1" outlineLevel="2" x14ac:dyDescent="0.25">
      <c r="A214" s="201"/>
      <c r="B214" s="201"/>
      <c r="C214" s="227"/>
      <c r="D214" s="232"/>
      <c r="E214" s="204"/>
      <c r="F214" s="205"/>
      <c r="G214" s="205"/>
      <c r="H214" s="205"/>
      <c r="I214" s="94"/>
      <c r="J214" s="206"/>
      <c r="K214" s="206"/>
      <c r="L214" s="207"/>
      <c r="M214" s="207"/>
      <c r="N214" s="207"/>
      <c r="O214" s="201"/>
      <c r="P214" s="201"/>
      <c r="Q214" s="201"/>
      <c r="R214" s="228"/>
      <c r="S214" s="228"/>
      <c r="T214" s="228"/>
      <c r="U214" s="214"/>
      <c r="V214" s="201"/>
      <c r="W214" s="201"/>
      <c r="X214" s="201"/>
      <c r="Y214" s="201"/>
      <c r="Z214" s="201"/>
      <c r="AA214" s="201"/>
      <c r="AB214" s="201"/>
      <c r="AC214" s="201"/>
      <c r="AD214" s="201"/>
      <c r="AE214" s="201"/>
      <c r="AF214" s="201"/>
      <c r="AG214" s="201"/>
      <c r="AH214" s="201"/>
      <c r="AI214" s="201"/>
      <c r="AJ214" s="201"/>
    </row>
    <row r="215" spans="1:36" hidden="1" outlineLevel="2" x14ac:dyDescent="0.25">
      <c r="A215" s="201"/>
      <c r="B215" s="201"/>
      <c r="C215" s="227"/>
      <c r="D215" s="232"/>
      <c r="E215" s="204"/>
      <c r="F215" s="205"/>
      <c r="G215" s="205"/>
      <c r="H215" s="205"/>
      <c r="I215" s="94"/>
      <c r="J215" s="206"/>
      <c r="K215" s="206"/>
      <c r="L215" s="207"/>
      <c r="M215" s="207"/>
      <c r="N215" s="207"/>
      <c r="O215" s="201"/>
      <c r="P215" s="201"/>
      <c r="Q215" s="201"/>
      <c r="R215" s="228"/>
      <c r="S215" s="228"/>
      <c r="T215" s="228"/>
      <c r="U215" s="214"/>
      <c r="V215" s="201"/>
      <c r="W215" s="201"/>
      <c r="X215" s="201"/>
      <c r="Y215" s="201"/>
      <c r="Z215" s="201"/>
      <c r="AA215" s="201"/>
      <c r="AB215" s="201"/>
      <c r="AC215" s="201"/>
      <c r="AD215" s="201"/>
      <c r="AE215" s="201"/>
      <c r="AF215" s="201"/>
      <c r="AG215" s="201"/>
      <c r="AH215" s="201"/>
      <c r="AI215" s="201"/>
      <c r="AJ215" s="201"/>
    </row>
    <row r="216" spans="1:36" hidden="1" outlineLevel="2" x14ac:dyDescent="0.25">
      <c r="A216" s="201"/>
      <c r="B216" s="201"/>
      <c r="C216" s="227"/>
      <c r="D216" s="232"/>
      <c r="E216" s="204"/>
      <c r="F216" s="205"/>
      <c r="G216" s="205"/>
      <c r="H216" s="205"/>
      <c r="I216" s="94"/>
      <c r="J216" s="206"/>
      <c r="K216" s="206"/>
      <c r="L216" s="207"/>
      <c r="M216" s="207"/>
      <c r="N216" s="207"/>
      <c r="O216" s="201"/>
      <c r="P216" s="201"/>
      <c r="Q216" s="201"/>
      <c r="R216" s="228"/>
      <c r="S216" s="228"/>
      <c r="T216" s="228"/>
      <c r="U216" s="214"/>
      <c r="V216" s="201"/>
      <c r="W216" s="201"/>
      <c r="X216" s="201"/>
      <c r="Y216" s="201"/>
      <c r="Z216" s="201"/>
      <c r="AA216" s="201"/>
      <c r="AB216" s="201"/>
      <c r="AC216" s="201"/>
      <c r="AD216" s="201"/>
      <c r="AE216" s="201"/>
      <c r="AF216" s="201"/>
      <c r="AG216" s="201"/>
      <c r="AH216" s="201"/>
      <c r="AI216" s="201"/>
      <c r="AJ216" s="201"/>
    </row>
    <row r="217" spans="1:36" hidden="1" outlineLevel="2" x14ac:dyDescent="0.25">
      <c r="A217" s="201"/>
      <c r="B217" s="201"/>
      <c r="C217" s="227"/>
      <c r="D217" s="232"/>
      <c r="E217" s="204"/>
      <c r="F217" s="205"/>
      <c r="G217" s="205"/>
      <c r="H217" s="205"/>
      <c r="I217" s="94"/>
      <c r="J217" s="206"/>
      <c r="K217" s="206"/>
      <c r="L217" s="207"/>
      <c r="M217" s="207"/>
      <c r="N217" s="207"/>
      <c r="O217" s="201"/>
      <c r="P217" s="201"/>
      <c r="Q217" s="201"/>
      <c r="R217" s="228"/>
      <c r="S217" s="228"/>
      <c r="T217" s="228"/>
      <c r="U217" s="214"/>
      <c r="V217" s="201"/>
      <c r="W217" s="201"/>
      <c r="X217" s="201"/>
      <c r="Y217" s="201"/>
      <c r="Z217" s="201"/>
      <c r="AA217" s="201"/>
      <c r="AB217" s="201"/>
      <c r="AC217" s="201"/>
      <c r="AD217" s="201"/>
      <c r="AE217" s="201"/>
      <c r="AF217" s="201"/>
      <c r="AG217" s="201"/>
      <c r="AH217" s="201"/>
      <c r="AI217" s="201"/>
      <c r="AJ217" s="201"/>
    </row>
    <row r="218" spans="1:36" hidden="1" outlineLevel="2" x14ac:dyDescent="0.25">
      <c r="A218" s="201"/>
      <c r="B218" s="201"/>
      <c r="C218" s="227"/>
      <c r="D218" s="208"/>
      <c r="E218" s="204"/>
      <c r="F218" s="205"/>
      <c r="G218" s="205"/>
      <c r="H218" s="205"/>
      <c r="I218" s="206"/>
      <c r="J218" s="206"/>
      <c r="K218" s="206"/>
      <c r="L218" s="207"/>
      <c r="M218" s="207"/>
      <c r="N218" s="207"/>
      <c r="O218" s="201"/>
      <c r="P218" s="201"/>
      <c r="Q218" s="201"/>
      <c r="R218" s="228"/>
      <c r="S218" s="228"/>
      <c r="T218" s="228"/>
      <c r="U218" s="214"/>
      <c r="V218" s="201"/>
      <c r="W218" s="201"/>
      <c r="X218" s="201"/>
      <c r="Y218" s="201"/>
      <c r="Z218" s="201"/>
      <c r="AA218" s="201"/>
      <c r="AB218" s="201"/>
      <c r="AC218" s="201"/>
      <c r="AD218" s="201"/>
      <c r="AE218" s="201"/>
      <c r="AF218" s="201"/>
      <c r="AG218" s="201"/>
      <c r="AH218" s="201"/>
      <c r="AI218" s="201"/>
      <c r="AJ218" s="201"/>
    </row>
    <row r="219" spans="1:36" hidden="1" outlineLevel="2" x14ac:dyDescent="0.25">
      <c r="A219" s="201"/>
      <c r="B219" s="201"/>
      <c r="C219" s="227"/>
      <c r="D219" s="208"/>
      <c r="E219" s="204"/>
      <c r="F219" s="205"/>
      <c r="G219" s="205"/>
      <c r="H219" s="205"/>
      <c r="I219" s="206"/>
      <c r="J219" s="206"/>
      <c r="K219" s="206"/>
      <c r="L219" s="207"/>
      <c r="M219" s="207"/>
      <c r="N219" s="207"/>
      <c r="O219" s="201"/>
      <c r="P219" s="201"/>
      <c r="Q219" s="201"/>
      <c r="R219" s="228"/>
      <c r="S219" s="228"/>
      <c r="T219" s="228"/>
      <c r="U219" s="214"/>
      <c r="V219" s="201"/>
      <c r="W219" s="201"/>
      <c r="X219" s="201"/>
      <c r="Y219" s="201"/>
      <c r="Z219" s="201"/>
      <c r="AA219" s="201"/>
      <c r="AB219" s="201"/>
      <c r="AC219" s="201"/>
      <c r="AD219" s="201"/>
      <c r="AE219" s="201"/>
      <c r="AF219" s="201"/>
      <c r="AG219" s="201"/>
      <c r="AH219" s="201"/>
      <c r="AI219" s="201"/>
      <c r="AJ219" s="201"/>
    </row>
    <row r="220" spans="1:36" hidden="1" outlineLevel="2" x14ac:dyDescent="0.25">
      <c r="A220" s="201"/>
      <c r="B220" s="201"/>
      <c r="C220" s="227"/>
      <c r="D220" s="208"/>
      <c r="E220" s="204"/>
      <c r="F220" s="205"/>
      <c r="G220" s="205"/>
      <c r="H220" s="205"/>
      <c r="I220" s="206"/>
      <c r="J220" s="206"/>
      <c r="K220" s="206"/>
      <c r="L220" s="207"/>
      <c r="M220" s="207"/>
      <c r="N220" s="207"/>
      <c r="O220" s="201"/>
      <c r="P220" s="201"/>
      <c r="Q220" s="201"/>
      <c r="R220" s="228"/>
      <c r="S220" s="228"/>
      <c r="T220" s="228"/>
      <c r="U220" s="214"/>
      <c r="V220" s="201"/>
      <c r="W220" s="201"/>
      <c r="X220" s="201"/>
      <c r="Y220" s="201"/>
      <c r="Z220" s="201"/>
      <c r="AA220" s="201"/>
      <c r="AB220" s="201"/>
      <c r="AC220" s="201"/>
      <c r="AD220" s="201"/>
      <c r="AE220" s="201"/>
      <c r="AF220" s="201"/>
      <c r="AG220" s="201"/>
      <c r="AH220" s="201"/>
      <c r="AI220" s="201"/>
      <c r="AJ220" s="201"/>
    </row>
    <row r="221" spans="1:36" hidden="1" outlineLevel="2" x14ac:dyDescent="0.25">
      <c r="A221" s="201"/>
      <c r="B221" s="201"/>
      <c r="C221" s="227"/>
      <c r="D221" s="208"/>
      <c r="E221" s="204"/>
      <c r="F221" s="205"/>
      <c r="G221" s="205"/>
      <c r="H221" s="205"/>
      <c r="I221" s="206"/>
      <c r="J221" s="206"/>
      <c r="K221" s="206"/>
      <c r="L221" s="207"/>
      <c r="M221" s="207"/>
      <c r="N221" s="207"/>
      <c r="O221" s="201"/>
      <c r="P221" s="201"/>
      <c r="Q221" s="201"/>
      <c r="R221" s="228"/>
      <c r="S221" s="228"/>
      <c r="T221" s="228"/>
      <c r="U221" s="214"/>
      <c r="V221" s="201"/>
      <c r="W221" s="201"/>
      <c r="X221" s="201"/>
      <c r="Y221" s="201"/>
      <c r="Z221" s="201"/>
      <c r="AA221" s="201"/>
      <c r="AB221" s="201"/>
      <c r="AC221" s="201"/>
      <c r="AD221" s="201"/>
      <c r="AE221" s="201"/>
      <c r="AF221" s="201"/>
      <c r="AG221" s="201"/>
      <c r="AH221" s="201"/>
      <c r="AI221" s="201"/>
      <c r="AJ221" s="201"/>
    </row>
    <row r="222" spans="1:36" hidden="1" outlineLevel="2" x14ac:dyDescent="0.25">
      <c r="A222" s="201"/>
      <c r="B222" s="201"/>
      <c r="C222" s="227"/>
      <c r="D222" s="233"/>
      <c r="E222" s="234"/>
      <c r="F222" s="235" t="s">
        <v>732</v>
      </c>
      <c r="G222" s="235" t="s">
        <v>733</v>
      </c>
      <c r="H222" s="235" t="s">
        <v>734</v>
      </c>
      <c r="I222" s="235"/>
      <c r="J222" s="235" t="s">
        <v>778</v>
      </c>
      <c r="K222" s="235"/>
      <c r="L222" s="203" t="s">
        <v>730</v>
      </c>
      <c r="M222" s="203" t="s">
        <v>731</v>
      </c>
      <c r="N222" s="236"/>
      <c r="O222" s="201"/>
      <c r="P222" s="201"/>
      <c r="Q222" s="201"/>
      <c r="R222" s="228"/>
      <c r="S222" s="228"/>
      <c r="T222" s="228"/>
      <c r="U222" s="214"/>
      <c r="V222" s="201"/>
      <c r="W222" s="201"/>
      <c r="X222" s="201"/>
      <c r="Y222" s="201"/>
      <c r="Z222" s="201"/>
      <c r="AA222" s="201"/>
      <c r="AB222" s="201"/>
      <c r="AC222" s="201"/>
      <c r="AD222" s="201"/>
      <c r="AE222" s="201"/>
      <c r="AF222" s="201"/>
      <c r="AG222" s="201"/>
      <c r="AH222" s="201"/>
      <c r="AI222" s="201"/>
      <c r="AJ222" s="201"/>
    </row>
    <row r="223" spans="1:36" hidden="1" outlineLevel="2" x14ac:dyDescent="0.25">
      <c r="A223" s="201"/>
      <c r="B223" s="201"/>
      <c r="C223" s="227"/>
      <c r="D223" s="213" t="s">
        <v>868</v>
      </c>
      <c r="E223" s="133" t="s">
        <v>869</v>
      </c>
      <c r="F223" s="79">
        <v>0.82099999999999995</v>
      </c>
      <c r="G223" s="93">
        <v>3.4000000000000002E-2</v>
      </c>
      <c r="H223" s="93">
        <v>0.11899999999999999</v>
      </c>
      <c r="I223" s="201"/>
      <c r="J223" s="138">
        <v>1</v>
      </c>
      <c r="K223" s="228"/>
      <c r="L223" s="237">
        <f>IF(ISNUMBER(J223),J223*SUM(L212:L221),SUM(L212:L221))</f>
        <v>38.90254839537694</v>
      </c>
      <c r="M223" s="237">
        <f>IF(ISNUMBER(J223),J223*SUM(M212:M221),SUM(M212:M221))</f>
        <v>8.9339113001723049</v>
      </c>
      <c r="N223" s="133"/>
      <c r="O223" s="201"/>
      <c r="P223" s="201"/>
      <c r="Q223" s="201"/>
      <c r="R223" s="228"/>
      <c r="S223" s="228"/>
      <c r="T223" s="228"/>
      <c r="U223" s="214"/>
      <c r="V223" s="201"/>
      <c r="W223" s="201"/>
      <c r="X223" s="201"/>
      <c r="Y223" s="201"/>
      <c r="Z223" s="201"/>
      <c r="AA223" s="201"/>
      <c r="AB223" s="201"/>
      <c r="AC223" s="201"/>
      <c r="AD223" s="201"/>
      <c r="AE223" s="201"/>
      <c r="AF223" s="201"/>
      <c r="AG223" s="201"/>
      <c r="AH223" s="201"/>
      <c r="AI223" s="201"/>
      <c r="AJ223" s="201"/>
    </row>
    <row r="224" spans="1:36" hidden="1" outlineLevel="2" x14ac:dyDescent="0.25">
      <c r="B224" s="201"/>
      <c r="C224" s="225"/>
      <c r="D224" s="20"/>
      <c r="E224" s="20"/>
      <c r="F224" s="20"/>
      <c r="G224" s="20"/>
      <c r="H224" s="20"/>
      <c r="I224" s="20"/>
      <c r="J224" s="20"/>
      <c r="K224" s="20"/>
      <c r="L224" s="20"/>
      <c r="M224" s="20"/>
      <c r="N224" s="20"/>
      <c r="O224" s="20"/>
      <c r="P224" s="20"/>
      <c r="Q224" s="20"/>
      <c r="R224" s="20"/>
      <c r="S224" s="20"/>
      <c r="T224" s="20"/>
      <c r="U224" s="19"/>
      <c r="W224" s="201"/>
      <c r="X224" s="201"/>
      <c r="Y224" s="201"/>
      <c r="Z224" s="201"/>
      <c r="AA224" s="201"/>
      <c r="AB224" s="201"/>
      <c r="AC224" s="201"/>
      <c r="AD224" s="201"/>
      <c r="AE224" s="201"/>
      <c r="AF224" s="201"/>
      <c r="AG224" s="201"/>
      <c r="AH224" s="201"/>
      <c r="AI224" s="201"/>
      <c r="AJ224" s="201"/>
    </row>
    <row r="225" spans="1:36" hidden="1" outlineLevel="2" x14ac:dyDescent="0.25">
      <c r="A225" s="201"/>
      <c r="B225" s="201"/>
      <c r="C225" s="227"/>
      <c r="D225" s="228">
        <f>COLUMN()</f>
        <v>4</v>
      </c>
      <c r="E225" s="228">
        <f t="shared" ref="E225:N225" si="89">COLUMN()-$D$28+1</f>
        <v>2</v>
      </c>
      <c r="F225" s="228">
        <f t="shared" si="89"/>
        <v>3</v>
      </c>
      <c r="G225" s="228">
        <f t="shared" si="89"/>
        <v>4</v>
      </c>
      <c r="H225" s="228">
        <f t="shared" si="89"/>
        <v>5</v>
      </c>
      <c r="I225" s="228">
        <f t="shared" si="89"/>
        <v>6</v>
      </c>
      <c r="J225" s="228">
        <f t="shared" si="89"/>
        <v>7</v>
      </c>
      <c r="K225" s="228">
        <f t="shared" si="89"/>
        <v>8</v>
      </c>
      <c r="L225" s="228">
        <f t="shared" si="89"/>
        <v>9</v>
      </c>
      <c r="M225" s="228">
        <f t="shared" si="89"/>
        <v>10</v>
      </c>
      <c r="N225" s="228">
        <f t="shared" si="89"/>
        <v>11</v>
      </c>
      <c r="O225" s="201"/>
      <c r="P225" s="201"/>
      <c r="Q225" s="201"/>
      <c r="R225" s="228"/>
      <c r="S225" s="228"/>
      <c r="T225" s="228"/>
      <c r="U225" s="214"/>
      <c r="V225" s="201"/>
      <c r="W225" s="201"/>
      <c r="X225" s="201"/>
      <c r="Y225" s="201"/>
      <c r="Z225" s="201"/>
      <c r="AA225" s="201"/>
      <c r="AB225" s="201"/>
      <c r="AC225" s="201"/>
      <c r="AD225" s="201"/>
      <c r="AE225" s="201"/>
      <c r="AF225" s="201"/>
      <c r="AG225" s="201"/>
      <c r="AH225" s="201"/>
      <c r="AI225" s="201"/>
      <c r="AJ225" s="201"/>
    </row>
    <row r="226" spans="1:36" ht="22.5" hidden="1" outlineLevel="1" collapsed="1" x14ac:dyDescent="0.25">
      <c r="A226" s="201"/>
      <c r="B226" s="201"/>
      <c r="C226" s="260" t="str">
        <f>D239</f>
        <v>Alu frame</v>
      </c>
      <c r="D226" s="228"/>
      <c r="E226" s="202" t="s">
        <v>82</v>
      </c>
      <c r="F226" s="202" t="str">
        <f>'Material editor'!$F$9</f>
        <v>Manfacturing energy</v>
      </c>
      <c r="G226" s="202" t="s">
        <v>149</v>
      </c>
      <c r="H226" s="202" t="str">
        <f>'Material editor'!$H$9</f>
        <v>Service life</v>
      </c>
      <c r="I226" s="202" t="s">
        <v>671</v>
      </c>
      <c r="J226" s="202" t="s">
        <v>679</v>
      </c>
      <c r="K226" s="202" t="s">
        <v>776</v>
      </c>
      <c r="L226" s="202" t="s">
        <v>143</v>
      </c>
      <c r="M226" s="202" t="s">
        <v>149</v>
      </c>
      <c r="N226" s="202" t="str">
        <f>'Material editor'!$AE$9</f>
        <v>Comment PHI</v>
      </c>
      <c r="O226" s="201"/>
      <c r="P226" s="201"/>
      <c r="Q226" s="201"/>
      <c r="R226" s="228"/>
      <c r="S226" s="228"/>
      <c r="T226" s="228"/>
      <c r="U226" s="214"/>
      <c r="V226" s="201"/>
      <c r="W226" s="201"/>
      <c r="X226" s="201"/>
      <c r="Y226" s="201"/>
      <c r="Z226" s="201"/>
      <c r="AA226" s="201"/>
      <c r="AB226" s="201"/>
      <c r="AC226" s="201"/>
      <c r="AD226" s="201"/>
      <c r="AE226" s="201"/>
      <c r="AF226" s="201"/>
      <c r="AG226" s="201"/>
      <c r="AH226" s="201"/>
      <c r="AI226" s="201"/>
      <c r="AJ226" s="201"/>
    </row>
    <row r="227" spans="1:36" hidden="1" outlineLevel="2" x14ac:dyDescent="0.25">
      <c r="A227" s="201"/>
      <c r="B227" s="201"/>
      <c r="C227" s="227"/>
      <c r="D227" s="228"/>
      <c r="E227" s="228"/>
      <c r="F227" s="203" t="s">
        <v>144</v>
      </c>
      <c r="G227" s="203" t="s">
        <v>148</v>
      </c>
      <c r="H227" s="203" t="s">
        <v>146</v>
      </c>
      <c r="I227" s="203" t="s">
        <v>672</v>
      </c>
      <c r="J227" s="203" t="s">
        <v>344</v>
      </c>
      <c r="K227" s="203" t="s">
        <v>777</v>
      </c>
      <c r="L227" s="203" t="s">
        <v>730</v>
      </c>
      <c r="M227" s="203" t="s">
        <v>731</v>
      </c>
      <c r="N227" s="228"/>
      <c r="O227" s="201"/>
      <c r="P227" s="201"/>
      <c r="Q227" s="201" t="s">
        <v>828</v>
      </c>
      <c r="R227" s="228"/>
      <c r="S227" s="228"/>
      <c r="T227" s="228"/>
      <c r="U227" s="214"/>
      <c r="V227" s="201"/>
      <c r="W227" s="201"/>
      <c r="X227" s="201"/>
      <c r="Y227" s="201"/>
      <c r="Z227" s="201"/>
      <c r="AA227" s="201"/>
      <c r="AB227" s="201"/>
      <c r="AC227" s="201"/>
      <c r="AD227" s="201"/>
      <c r="AE227" s="201"/>
      <c r="AF227" s="201"/>
      <c r="AG227" s="201"/>
      <c r="AH227" s="201"/>
      <c r="AI227" s="201"/>
      <c r="AJ227" s="201"/>
    </row>
    <row r="228" spans="1:36" hidden="1" outlineLevel="2" x14ac:dyDescent="0.25">
      <c r="A228" s="201"/>
      <c r="B228" s="201"/>
      <c r="C228" s="227"/>
      <c r="D228" s="232" t="s">
        <v>27</v>
      </c>
      <c r="E228" s="204" t="s">
        <v>1047</v>
      </c>
      <c r="F228" s="205">
        <f>IF(ISNUMBER(VLOOKUP(LEFT(E228,3),'Material editor'!$D$11:$H$110,'Material editor'!$F$8,0)),VLOOKUP(LEFT(E228,3),'Material editor'!$D$11:$H$110,'Material editor'!$F$8,0),"")</f>
        <v>116264.03039558257</v>
      </c>
      <c r="G228" s="205">
        <f>IF(ISNUMBER(VLOOKUP(LEFT(E228,3),'Material editor'!$D$11:$H$110,'Material editor'!$G$8,0)),VLOOKUP(LEFT(E228,3),'Material editor'!$D$11:$H$110,'Material editor'!$G$8,0),"")</f>
        <v>23190.300000000003</v>
      </c>
      <c r="H228" s="205">
        <f>IF(ISNUMBER(VLOOKUP(LEFT(E228,3),'Material editor'!$D$11:$H$110,'Material editor'!$H$8,0)),VLOOKUP(LEFT(E228,3),'Material editor'!$D$11:$H$110,'Material editor'!$H$8,0),"")</f>
        <v>40</v>
      </c>
      <c r="I228" s="94">
        <v>882</v>
      </c>
      <c r="J228" s="206"/>
      <c r="K228" s="206"/>
      <c r="L228" s="207">
        <f>F228*I228/(1000*1000)*Balance!$H$13/H228</f>
        <v>51.272437404451907</v>
      </c>
      <c r="M228" s="207">
        <f>G228*I228/(1000*1000)*Balance!$H$13/H228</f>
        <v>10.2269223</v>
      </c>
      <c r="N228" s="207" t="str">
        <f>IF(ISTEXT(VLOOKUP(LEFT(E228,3),'Material editor'!$D$11:$AE$110,'Material editor'!$AE$8,0)),VLOOKUP(LEFT(E228,3),'Material editor'!$D$11:$AE$110,'Material editor'!$AE$8,0),"")</f>
        <v/>
      </c>
      <c r="O228" s="201"/>
      <c r="P228" s="201">
        <v>1400</v>
      </c>
      <c r="Q228" s="201">
        <f>P228*I228/(1000*1000)</f>
        <v>1.2347999999999999</v>
      </c>
      <c r="R228" s="228"/>
      <c r="S228" s="228"/>
      <c r="T228" s="228"/>
      <c r="U228" s="214"/>
      <c r="V228" s="201"/>
      <c r="W228" s="201"/>
      <c r="X228" s="201"/>
      <c r="Y228" s="201"/>
      <c r="Z228" s="201"/>
      <c r="AA228" s="201"/>
      <c r="AB228" s="201"/>
      <c r="AC228" s="201"/>
      <c r="AD228" s="201"/>
      <c r="AE228" s="201"/>
      <c r="AF228" s="201"/>
      <c r="AG228" s="201"/>
      <c r="AH228" s="201"/>
      <c r="AI228" s="201"/>
      <c r="AJ228" s="201"/>
    </row>
    <row r="229" spans="1:36" hidden="1" outlineLevel="2" x14ac:dyDescent="0.25">
      <c r="A229" s="201"/>
      <c r="B229" s="201"/>
      <c r="C229" s="227"/>
      <c r="D229" s="232" t="s">
        <v>792</v>
      </c>
      <c r="E229" s="204" t="s">
        <v>822</v>
      </c>
      <c r="F229" s="205">
        <f>IF(ISNUMBER(VLOOKUP(LEFT(E229,3),'Material editor'!$D$11:$H$110,'Material editor'!$F$8,0)),VLOOKUP(LEFT(E229,3),'Material editor'!$D$11:$H$110,'Material editor'!$F$8,0),"")</f>
        <v>30073.963710488388</v>
      </c>
      <c r="G229" s="205">
        <f>IF(ISNUMBER(VLOOKUP(LEFT(E229,3),'Material editor'!$D$11:$H$110,'Material editor'!$G$8,0)),VLOOKUP(LEFT(E229,3),'Material editor'!$D$11:$H$110,'Material editor'!$G$8,0),"")</f>
        <v>5398.458661622054</v>
      </c>
      <c r="H229" s="205">
        <f>IF(ISNUMBER(VLOOKUP(LEFT(E229,3),'Material editor'!$D$11:$H$110,'Material editor'!$H$8,0)),VLOOKUP(LEFT(E229,3),'Material editor'!$D$11:$H$110,'Material editor'!$H$8,0),"")</f>
        <v>40</v>
      </c>
      <c r="I229" s="94">
        <v>740</v>
      </c>
      <c r="J229" s="206"/>
      <c r="K229" s="206"/>
      <c r="L229" s="207">
        <f>F229*I229/(1000*1000)*Balance!$H$13/H229</f>
        <v>11.127366572880703</v>
      </c>
      <c r="M229" s="207">
        <f>G229*I229/(1000*1000)*Balance!$H$13/H229</f>
        <v>1.9974297048001599</v>
      </c>
      <c r="N229" s="207" t="str">
        <f>IF(ISTEXT(VLOOKUP(LEFT(E229,3),'Material editor'!$D$11:$AE$110,'Material editor'!$AE$8,0)),VLOOKUP(LEFT(E229,3),'Material editor'!$D$11:$AE$110,'Material editor'!$AE$8,0),"")</f>
        <v/>
      </c>
      <c r="O229" s="201"/>
      <c r="P229" s="201"/>
      <c r="Q229" s="201"/>
      <c r="R229" s="228"/>
      <c r="S229" s="228"/>
      <c r="T229" s="228"/>
      <c r="U229" s="214"/>
      <c r="V229" s="201"/>
      <c r="W229" s="201"/>
      <c r="X229" s="201"/>
      <c r="Y229" s="201"/>
      <c r="Z229" s="201"/>
      <c r="AA229" s="201"/>
      <c r="AB229" s="201"/>
      <c r="AC229" s="201"/>
      <c r="AD229" s="201"/>
      <c r="AE229" s="201"/>
      <c r="AF229" s="201"/>
      <c r="AG229" s="201"/>
      <c r="AH229" s="201"/>
      <c r="AI229" s="201"/>
      <c r="AJ229" s="201"/>
    </row>
    <row r="230" spans="1:36" hidden="1" outlineLevel="2" x14ac:dyDescent="0.25">
      <c r="A230" s="201"/>
      <c r="B230" s="201"/>
      <c r="C230" s="227"/>
      <c r="D230" s="232" t="s">
        <v>675</v>
      </c>
      <c r="E230" s="204" t="s">
        <v>683</v>
      </c>
      <c r="F230" s="205">
        <f>IF(ISNUMBER(VLOOKUP(LEFT(E230,3),'Material editor'!$D$11:$H$110,'Material editor'!$F$8,0)),VLOOKUP(LEFT(E230,3),'Material editor'!$D$11:$H$110,'Material editor'!$F$8,0),"")</f>
        <v>8577.8982058033398</v>
      </c>
      <c r="G230" s="205">
        <f>IF(ISNUMBER(VLOOKUP(LEFT(E230,3),'Material editor'!$D$11:$H$110,'Material editor'!$G$8,0)),VLOOKUP(LEFT(E230,3),'Material editor'!$D$11:$H$110,'Material editor'!$G$8,0),"")</f>
        <v>1740.6610483823918</v>
      </c>
      <c r="H230" s="205">
        <f>IF(ISNUMBER(VLOOKUP(LEFT(E230,3),'Material editor'!$D$11:$H$110,'Material editor'!$H$8,0)),VLOOKUP(LEFT(E230,3),'Material editor'!$D$11:$H$110,'Material editor'!$H$8,0),"")</f>
        <v>20</v>
      </c>
      <c r="I230" s="94">
        <v>451</v>
      </c>
      <c r="J230" s="206"/>
      <c r="K230" s="206"/>
      <c r="L230" s="207">
        <f>F230*I230/(1000*1000)*Balance!$H$13/H230</f>
        <v>3.8686320908173064</v>
      </c>
      <c r="M230" s="207">
        <f>G230*I230/(1000*1000)*Balance!$H$13/H230</f>
        <v>0.78503813282045876</v>
      </c>
      <c r="N230" s="207" t="str">
        <f>IF(ISTEXT(VLOOKUP(LEFT(E230,3),'Material editor'!$D$11:$AE$110,'Material editor'!$AE$8,0)),VLOOKUP(LEFT(E230,3),'Material editor'!$D$11:$AE$110,'Material editor'!$AE$8,0),"")</f>
        <v/>
      </c>
      <c r="O230" s="201"/>
      <c r="P230" s="201"/>
      <c r="Q230" s="201"/>
      <c r="R230" s="228"/>
      <c r="S230" s="228"/>
      <c r="T230" s="228"/>
      <c r="U230" s="214"/>
      <c r="V230" s="201"/>
      <c r="W230" s="201"/>
      <c r="X230" s="201"/>
      <c r="Y230" s="201"/>
      <c r="Z230" s="201"/>
      <c r="AA230" s="201"/>
      <c r="AB230" s="201"/>
      <c r="AC230" s="201"/>
      <c r="AD230" s="201"/>
      <c r="AE230" s="201"/>
      <c r="AF230" s="201"/>
      <c r="AG230" s="201"/>
      <c r="AH230" s="201"/>
      <c r="AI230" s="201"/>
      <c r="AJ230" s="201"/>
    </row>
    <row r="231" spans="1:36" hidden="1" outlineLevel="2" x14ac:dyDescent="0.25">
      <c r="A231" s="201"/>
      <c r="B231" s="201"/>
      <c r="C231" s="227"/>
      <c r="D231" s="232" t="s">
        <v>678</v>
      </c>
      <c r="E231" s="204" t="s">
        <v>1045</v>
      </c>
      <c r="F231" s="205">
        <f>IF(ISNUMBER(VLOOKUP(LEFT(E231,3),'Material editor'!$D$11:$H$110,'Material editor'!$F$8,0)),VLOOKUP(LEFT(E231,3),'Material editor'!$D$11:$H$110,'Material editor'!$F$8,0),"")</f>
        <v>31554.72432133375</v>
      </c>
      <c r="G231" s="205">
        <f>IF(ISNUMBER(VLOOKUP(LEFT(E231,3),'Material editor'!$D$11:$H$110,'Material editor'!$G$8,0)),VLOOKUP(LEFT(E231,3),'Material editor'!$D$11:$H$110,'Material editor'!$G$8,0),"")</f>
        <v>7570.5013256411439</v>
      </c>
      <c r="H231" s="205">
        <f>IF(ISNUMBER(VLOOKUP(LEFT(E231,3),'Material editor'!$D$11:$H$110,'Material editor'!$H$8,0)),VLOOKUP(LEFT(E231,3),'Material editor'!$D$11:$H$110,'Material editor'!$H$8,0),"")</f>
        <v>40</v>
      </c>
      <c r="I231" s="94">
        <v>50</v>
      </c>
      <c r="J231" s="206"/>
      <c r="K231" s="206"/>
      <c r="L231" s="207">
        <f>F231*I231/(1000*1000)*Balance!$H$13/H231</f>
        <v>0.78886810803334373</v>
      </c>
      <c r="M231" s="207">
        <f>G231*I231/(1000*1000)*Balance!$H$13/H231</f>
        <v>0.18926253314102859</v>
      </c>
      <c r="N231" s="207" t="str">
        <f>IF(ISTEXT(VLOOKUP(LEFT(E231,3),'Material editor'!$D$11:$AE$110,'Material editor'!$AE$8,0)),VLOOKUP(LEFT(E231,3),'Material editor'!$D$11:$AE$110,'Material editor'!$AE$8,0),"")</f>
        <v/>
      </c>
      <c r="O231" s="201"/>
      <c r="P231" s="201"/>
      <c r="Q231" s="201"/>
      <c r="R231" s="228"/>
      <c r="S231" s="228"/>
      <c r="T231" s="228"/>
      <c r="U231" s="214"/>
      <c r="V231" s="201"/>
      <c r="W231" s="201"/>
      <c r="X231" s="201"/>
      <c r="Y231" s="201"/>
      <c r="Z231" s="201"/>
      <c r="AA231" s="201"/>
      <c r="AB231" s="201"/>
      <c r="AC231" s="201"/>
      <c r="AD231" s="201"/>
      <c r="AE231" s="201"/>
      <c r="AF231" s="201"/>
      <c r="AG231" s="201"/>
      <c r="AH231" s="201"/>
      <c r="AI231" s="201"/>
      <c r="AJ231" s="201"/>
    </row>
    <row r="232" spans="1:36" hidden="1" outlineLevel="2" x14ac:dyDescent="0.25">
      <c r="A232" s="201"/>
      <c r="B232" s="201"/>
      <c r="C232" s="227"/>
      <c r="D232" s="232" t="s">
        <v>833</v>
      </c>
      <c r="E232" s="204" t="s">
        <v>1046</v>
      </c>
      <c r="F232" s="205">
        <f>IF(ISNUMBER(VLOOKUP(LEFT(E232,3),'Material editor'!$D$11:$H$110,'Material editor'!$F$8,0)),VLOOKUP(LEFT(E232,3),'Material editor'!$D$11:$H$110,'Material editor'!$F$8,0),"")</f>
        <v>647.25297961925958</v>
      </c>
      <c r="G232" s="205">
        <f>IF(ISNUMBER(VLOOKUP(LEFT(E232,3),'Material editor'!$D$11:$H$110,'Material editor'!$G$8,0)),VLOOKUP(LEFT(E232,3),'Material editor'!$D$11:$H$110,'Material editor'!$G$8,0),"")</f>
        <v>153.00099181306416</v>
      </c>
      <c r="H232" s="205">
        <f>IF(ISNUMBER(VLOOKUP(LEFT(E232,3),'Material editor'!$D$11:$H$110,'Material editor'!$H$8,0)),VLOOKUP(LEFT(E232,3),'Material editor'!$D$11:$H$110,'Material editor'!$H$8,0),"")</f>
        <v>40</v>
      </c>
      <c r="I232" s="94">
        <v>2840</v>
      </c>
      <c r="J232" s="206"/>
      <c r="K232" s="206"/>
      <c r="L232" s="207">
        <f>F232*I232/(1000*1000)*Balance!$H$13/H232</f>
        <v>0.91909923105934843</v>
      </c>
      <c r="M232" s="207">
        <f>G232*I232/(1000*1000)*Balance!$H$13/H232</f>
        <v>0.21726140837455113</v>
      </c>
      <c r="N232" s="207"/>
      <c r="O232" s="201"/>
      <c r="P232" s="201"/>
      <c r="Q232" s="201"/>
      <c r="R232" s="228"/>
      <c r="S232" s="228"/>
      <c r="T232" s="228"/>
      <c r="U232" s="214"/>
      <c r="V232" s="201"/>
      <c r="W232" s="201"/>
      <c r="X232" s="201"/>
      <c r="Y232" s="201"/>
      <c r="Z232" s="201"/>
      <c r="AA232" s="201"/>
      <c r="AB232" s="201"/>
      <c r="AC232" s="201"/>
      <c r="AD232" s="201"/>
      <c r="AE232" s="201"/>
      <c r="AF232" s="201"/>
      <c r="AG232" s="201"/>
      <c r="AH232" s="201"/>
      <c r="AI232" s="201"/>
      <c r="AJ232" s="201"/>
    </row>
    <row r="233" spans="1:36" hidden="1" outlineLevel="2" x14ac:dyDescent="0.25">
      <c r="A233" s="201"/>
      <c r="B233" s="201"/>
      <c r="C233" s="227"/>
      <c r="D233" s="232" t="s">
        <v>831</v>
      </c>
      <c r="E233" s="204" t="s">
        <v>832</v>
      </c>
      <c r="F233" s="205">
        <f>IF(ISNUMBER(VLOOKUP(LEFT(E233,3),'Material editor'!$D$11:$H$110,'Material editor'!$F$8,0)),VLOOKUP(LEFT(E233,3),'Material editor'!$D$11:$H$110,'Material editor'!$F$8,0),"")</f>
        <v>1312.6506024096384</v>
      </c>
      <c r="G233" s="205">
        <f>IF(ISNUMBER(VLOOKUP(LEFT(E233,3),'Material editor'!$D$11:$H$110,'Material editor'!$G$8,0)),VLOOKUP(LEFT(E233,3),'Material editor'!$D$11:$H$110,'Material editor'!$G$8,0),"")</f>
        <v>299.39759036144579</v>
      </c>
      <c r="H233" s="205">
        <f>IF(ISNUMBER(VLOOKUP(LEFT(E233,3),'Material editor'!$D$11:$H$110,'Material editor'!$H$8,0)),VLOOKUP(LEFT(E233,3),'Material editor'!$D$11:$H$110,'Material editor'!$H$8,0),"")</f>
        <v>40</v>
      </c>
      <c r="I233" s="94">
        <v>1750</v>
      </c>
      <c r="J233" s="206"/>
      <c r="K233" s="206"/>
      <c r="L233" s="207">
        <f>F233*I233/(1000*1000)*Balance!$H$13/H233</f>
        <v>1.1485692771084337</v>
      </c>
      <c r="M233" s="207">
        <f>G233*I233/(1000*1000)*Balance!$H$13/H233</f>
        <v>0.26197289156626508</v>
      </c>
      <c r="N233" s="207"/>
      <c r="O233" s="201"/>
      <c r="P233" s="201"/>
      <c r="Q233" s="201"/>
      <c r="R233" s="228"/>
      <c r="S233" s="228"/>
      <c r="T233" s="228"/>
      <c r="U233" s="214"/>
      <c r="V233" s="201"/>
      <c r="W233" s="201"/>
      <c r="X233" s="201"/>
      <c r="Y233" s="201"/>
      <c r="Z233" s="201"/>
      <c r="AA233" s="201"/>
      <c r="AB233" s="201"/>
      <c r="AC233" s="201"/>
      <c r="AD233" s="201"/>
      <c r="AE233" s="201"/>
      <c r="AF233" s="201"/>
      <c r="AG233" s="201"/>
      <c r="AH233" s="201"/>
      <c r="AI233" s="201"/>
      <c r="AJ233" s="201"/>
    </row>
    <row r="234" spans="1:36" hidden="1" outlineLevel="2" x14ac:dyDescent="0.25">
      <c r="A234" s="201"/>
      <c r="B234" s="201"/>
      <c r="C234" s="227"/>
      <c r="D234" s="208"/>
      <c r="E234" s="204"/>
      <c r="F234" s="205"/>
      <c r="G234" s="205"/>
      <c r="H234" s="205"/>
      <c r="I234" s="206"/>
      <c r="J234" s="206"/>
      <c r="K234" s="206"/>
      <c r="L234" s="207"/>
      <c r="M234" s="207"/>
      <c r="N234" s="207"/>
      <c r="O234" s="201"/>
      <c r="P234" s="201"/>
      <c r="Q234" s="201"/>
      <c r="R234" s="228"/>
      <c r="S234" s="228"/>
      <c r="T234" s="228"/>
      <c r="U234" s="214"/>
      <c r="V234" s="201"/>
      <c r="W234" s="201"/>
      <c r="X234" s="201"/>
      <c r="Y234" s="201"/>
      <c r="Z234" s="201"/>
      <c r="AA234" s="201"/>
      <c r="AB234" s="201"/>
      <c r="AC234" s="201"/>
      <c r="AD234" s="201"/>
      <c r="AE234" s="201"/>
      <c r="AF234" s="201"/>
      <c r="AG234" s="201"/>
      <c r="AH234" s="201"/>
      <c r="AI234" s="201"/>
      <c r="AJ234" s="201"/>
    </row>
    <row r="235" spans="1:36" hidden="1" outlineLevel="2" x14ac:dyDescent="0.25">
      <c r="A235" s="201"/>
      <c r="B235" s="201"/>
      <c r="C235" s="227"/>
      <c r="D235" s="208"/>
      <c r="E235" s="204"/>
      <c r="F235" s="205"/>
      <c r="G235" s="205"/>
      <c r="H235" s="205"/>
      <c r="I235" s="206"/>
      <c r="J235" s="206"/>
      <c r="K235" s="206"/>
      <c r="L235" s="207"/>
      <c r="M235" s="207"/>
      <c r="N235" s="207"/>
      <c r="O235" s="201"/>
      <c r="P235" s="201"/>
      <c r="Q235" s="201"/>
      <c r="R235" s="228"/>
      <c r="S235" s="228"/>
      <c r="T235" s="228"/>
      <c r="U235" s="214"/>
      <c r="V235" s="201"/>
      <c r="W235" s="201"/>
      <c r="X235" s="201"/>
      <c r="Y235" s="201"/>
      <c r="Z235" s="201"/>
      <c r="AA235" s="201"/>
      <c r="AB235" s="201"/>
      <c r="AC235" s="201"/>
      <c r="AD235" s="201"/>
      <c r="AE235" s="201"/>
      <c r="AF235" s="201"/>
      <c r="AG235" s="201"/>
      <c r="AH235" s="201"/>
      <c r="AI235" s="201"/>
      <c r="AJ235" s="201"/>
    </row>
    <row r="236" spans="1:36" hidden="1" outlineLevel="2" x14ac:dyDescent="0.25">
      <c r="A236" s="201"/>
      <c r="B236" s="201"/>
      <c r="C236" s="227"/>
      <c r="D236" s="208"/>
      <c r="E236" s="204"/>
      <c r="F236" s="205"/>
      <c r="G236" s="205"/>
      <c r="H236" s="205"/>
      <c r="I236" s="206"/>
      <c r="J236" s="206"/>
      <c r="K236" s="206"/>
      <c r="L236" s="207"/>
      <c r="M236" s="207"/>
      <c r="N236" s="207"/>
      <c r="O236" s="201"/>
      <c r="P236" s="201"/>
      <c r="Q236" s="201"/>
      <c r="R236" s="228"/>
      <c r="S236" s="228"/>
      <c r="T236" s="228"/>
      <c r="U236" s="214"/>
      <c r="V236" s="201"/>
      <c r="W236" s="201"/>
      <c r="X236" s="201"/>
      <c r="Y236" s="201"/>
      <c r="Z236" s="201"/>
      <c r="AA236" s="201"/>
      <c r="AB236" s="201"/>
      <c r="AC236" s="201"/>
      <c r="AD236" s="201"/>
      <c r="AE236" s="201"/>
      <c r="AF236" s="201"/>
      <c r="AG236" s="201"/>
      <c r="AH236" s="201"/>
      <c r="AI236" s="201"/>
      <c r="AJ236" s="201"/>
    </row>
    <row r="237" spans="1:36" hidden="1" outlineLevel="2" x14ac:dyDescent="0.25">
      <c r="A237" s="201"/>
      <c r="B237" s="201"/>
      <c r="C237" s="227"/>
      <c r="D237" s="208"/>
      <c r="E237" s="204"/>
      <c r="F237" s="205"/>
      <c r="G237" s="205"/>
      <c r="H237" s="205"/>
      <c r="I237" s="206"/>
      <c r="J237" s="206"/>
      <c r="K237" s="206"/>
      <c r="L237" s="207"/>
      <c r="M237" s="207"/>
      <c r="N237" s="207"/>
      <c r="O237" s="201"/>
      <c r="P237" s="201"/>
      <c r="Q237" s="201"/>
      <c r="R237" s="228"/>
      <c r="S237" s="228"/>
      <c r="T237" s="228"/>
      <c r="U237" s="214"/>
      <c r="V237" s="201"/>
      <c r="W237" s="201"/>
      <c r="X237" s="201"/>
      <c r="Y237" s="201"/>
      <c r="Z237" s="201"/>
      <c r="AA237" s="201"/>
      <c r="AB237" s="201"/>
      <c r="AC237" s="201"/>
      <c r="AD237" s="201"/>
      <c r="AE237" s="201"/>
      <c r="AF237" s="201"/>
      <c r="AG237" s="201"/>
      <c r="AH237" s="201"/>
      <c r="AI237" s="201"/>
      <c r="AJ237" s="201"/>
    </row>
    <row r="238" spans="1:36" hidden="1" outlineLevel="2" x14ac:dyDescent="0.25">
      <c r="A238" s="201"/>
      <c r="B238" s="201"/>
      <c r="C238" s="227"/>
      <c r="D238" s="233"/>
      <c r="E238" s="234"/>
      <c r="F238" s="235" t="s">
        <v>732</v>
      </c>
      <c r="G238" s="235" t="s">
        <v>733</v>
      </c>
      <c r="H238" s="235" t="s">
        <v>734</v>
      </c>
      <c r="I238" s="235"/>
      <c r="J238" s="235" t="s">
        <v>778</v>
      </c>
      <c r="K238" s="235"/>
      <c r="L238" s="203" t="s">
        <v>730</v>
      </c>
      <c r="M238" s="203" t="s">
        <v>731</v>
      </c>
      <c r="N238" s="236"/>
      <c r="O238" s="201"/>
      <c r="P238" s="201"/>
      <c r="Q238" s="201"/>
      <c r="R238" s="228"/>
      <c r="S238" s="228"/>
      <c r="T238" s="228"/>
      <c r="U238" s="214"/>
      <c r="V238" s="201"/>
      <c r="W238" s="201"/>
      <c r="X238" s="201"/>
      <c r="Y238" s="201"/>
      <c r="Z238" s="201"/>
      <c r="AA238" s="201"/>
      <c r="AB238" s="201"/>
      <c r="AC238" s="201"/>
      <c r="AD238" s="201"/>
      <c r="AE238" s="201"/>
      <c r="AF238" s="201"/>
      <c r="AG238" s="201"/>
      <c r="AH238" s="201"/>
      <c r="AI238" s="201"/>
      <c r="AJ238" s="201"/>
    </row>
    <row r="239" spans="1:36" hidden="1" outlineLevel="2" x14ac:dyDescent="0.25">
      <c r="A239" s="201"/>
      <c r="B239" s="201"/>
      <c r="C239" s="227"/>
      <c r="D239" s="213" t="s">
        <v>830</v>
      </c>
      <c r="E239" s="133" t="s">
        <v>835</v>
      </c>
      <c r="F239" s="79">
        <v>1.17</v>
      </c>
      <c r="G239" s="93">
        <v>4.2999999999999997E-2</v>
      </c>
      <c r="H239" s="93">
        <v>0.14199999999999999</v>
      </c>
      <c r="I239" s="201"/>
      <c r="J239" s="79">
        <v>1.5</v>
      </c>
      <c r="K239" s="228"/>
      <c r="L239" s="237">
        <f>IF(ISNUMBER(J239),J239*SUM(L228:L237),SUM(L228:L237))</f>
        <v>103.68745902652655</v>
      </c>
      <c r="M239" s="237">
        <f>IF(ISNUMBER(J239),J239*SUM(M228:M237),SUM(M228:M237))</f>
        <v>20.516830456053697</v>
      </c>
      <c r="N239" s="133"/>
      <c r="O239" s="201"/>
      <c r="P239" s="201"/>
      <c r="Q239" s="201"/>
      <c r="R239" s="228"/>
      <c r="S239" s="228"/>
      <c r="T239" s="228"/>
      <c r="U239" s="214"/>
      <c r="V239" s="201"/>
      <c r="W239" s="201"/>
      <c r="X239" s="201"/>
      <c r="Y239" s="201"/>
      <c r="Z239" s="201"/>
      <c r="AA239" s="201"/>
      <c r="AB239" s="201"/>
      <c r="AC239" s="201"/>
      <c r="AD239" s="201"/>
      <c r="AE239" s="201"/>
      <c r="AF239" s="201"/>
      <c r="AG239" s="201"/>
      <c r="AH239" s="201"/>
      <c r="AI239" s="201"/>
      <c r="AJ239" s="201"/>
    </row>
    <row r="240" spans="1:36" hidden="1" outlineLevel="2" x14ac:dyDescent="0.25">
      <c r="B240" s="201"/>
      <c r="C240" s="225"/>
      <c r="D240" s="20"/>
      <c r="E240" s="20"/>
      <c r="F240" s="20"/>
      <c r="G240" s="20"/>
      <c r="H240" s="20"/>
      <c r="I240" s="20"/>
      <c r="J240" s="20"/>
      <c r="K240" s="20"/>
      <c r="L240" s="20"/>
      <c r="M240" s="20"/>
      <c r="N240" s="20"/>
      <c r="O240" s="20"/>
      <c r="P240" s="20"/>
      <c r="Q240" s="20"/>
      <c r="R240" s="20"/>
      <c r="S240" s="20"/>
      <c r="T240" s="20"/>
      <c r="U240" s="19"/>
      <c r="W240" s="201"/>
      <c r="X240" s="201"/>
      <c r="Y240" s="201"/>
      <c r="Z240" s="201"/>
      <c r="AA240" s="201"/>
      <c r="AB240" s="201"/>
      <c r="AC240" s="201"/>
      <c r="AD240" s="201"/>
      <c r="AE240" s="201"/>
      <c r="AF240" s="201"/>
      <c r="AG240" s="201"/>
      <c r="AH240" s="201"/>
      <c r="AI240" s="201"/>
      <c r="AJ240" s="201"/>
    </row>
    <row r="241" spans="1:36" hidden="1" outlineLevel="2" x14ac:dyDescent="0.25">
      <c r="A241" s="201"/>
      <c r="B241" s="201"/>
      <c r="C241" s="227"/>
      <c r="D241" s="228">
        <f>COLUMN()</f>
        <v>4</v>
      </c>
      <c r="E241" s="228">
        <f t="shared" ref="E241:N241" si="90">COLUMN()-$D$28+1</f>
        <v>2</v>
      </c>
      <c r="F241" s="228">
        <f t="shared" si="90"/>
        <v>3</v>
      </c>
      <c r="G241" s="228">
        <f t="shared" si="90"/>
        <v>4</v>
      </c>
      <c r="H241" s="228">
        <f t="shared" si="90"/>
        <v>5</v>
      </c>
      <c r="I241" s="228">
        <f t="shared" si="90"/>
        <v>6</v>
      </c>
      <c r="J241" s="228">
        <f t="shared" si="90"/>
        <v>7</v>
      </c>
      <c r="K241" s="228">
        <f t="shared" si="90"/>
        <v>8</v>
      </c>
      <c r="L241" s="228">
        <f t="shared" si="90"/>
        <v>9</v>
      </c>
      <c r="M241" s="228">
        <f t="shared" si="90"/>
        <v>10</v>
      </c>
      <c r="N241" s="228">
        <f t="shared" si="90"/>
        <v>11</v>
      </c>
      <c r="O241" s="201"/>
      <c r="P241" s="201"/>
      <c r="Q241" s="201"/>
      <c r="R241" s="228"/>
      <c r="S241" s="228"/>
      <c r="T241" s="228"/>
      <c r="U241" s="214"/>
      <c r="V241" s="201"/>
      <c r="W241" s="201"/>
      <c r="X241" s="201"/>
      <c r="Y241" s="201"/>
      <c r="Z241" s="201"/>
      <c r="AA241" s="201"/>
      <c r="AB241" s="201"/>
      <c r="AC241" s="201"/>
      <c r="AD241" s="201"/>
      <c r="AE241" s="201"/>
      <c r="AF241" s="201"/>
      <c r="AG241" s="201"/>
      <c r="AH241" s="201"/>
      <c r="AI241" s="201"/>
      <c r="AJ241" s="201"/>
    </row>
    <row r="242" spans="1:36" ht="22.5" hidden="1" outlineLevel="1" collapsed="1" x14ac:dyDescent="0.25">
      <c r="A242" s="201"/>
      <c r="B242" s="201"/>
      <c r="C242" s="260" t="str">
        <f>D255</f>
        <v>PH Alu frame</v>
      </c>
      <c r="D242" s="228"/>
      <c r="E242" s="202" t="s">
        <v>82</v>
      </c>
      <c r="F242" s="202" t="str">
        <f>'Material editor'!$F$9</f>
        <v>Manfacturing energy</v>
      </c>
      <c r="G242" s="202" t="s">
        <v>149</v>
      </c>
      <c r="H242" s="202" t="str">
        <f>'Material editor'!$H$9</f>
        <v>Service life</v>
      </c>
      <c r="I242" s="202" t="s">
        <v>671</v>
      </c>
      <c r="J242" s="202" t="s">
        <v>679</v>
      </c>
      <c r="K242" s="202" t="s">
        <v>776</v>
      </c>
      <c r="L242" s="202" t="s">
        <v>143</v>
      </c>
      <c r="M242" s="202" t="s">
        <v>149</v>
      </c>
      <c r="N242" s="202" t="str">
        <f>'Material editor'!$AE$9</f>
        <v>Comment PHI</v>
      </c>
      <c r="O242" s="201"/>
      <c r="P242" s="201"/>
      <c r="Q242" s="201"/>
      <c r="R242" s="228"/>
      <c r="S242" s="228"/>
      <c r="T242" s="228"/>
      <c r="U242" s="214"/>
      <c r="V242" s="201"/>
      <c r="W242" s="201"/>
      <c r="X242" s="201"/>
      <c r="Y242" s="201"/>
      <c r="Z242" s="201"/>
      <c r="AA242" s="201"/>
      <c r="AB242" s="201"/>
      <c r="AC242" s="201"/>
      <c r="AD242" s="201"/>
      <c r="AE242" s="201"/>
      <c r="AF242" s="201"/>
      <c r="AG242" s="201"/>
      <c r="AH242" s="201"/>
      <c r="AI242" s="201"/>
      <c r="AJ242" s="201"/>
    </row>
    <row r="243" spans="1:36" hidden="1" outlineLevel="2" x14ac:dyDescent="0.25">
      <c r="A243" s="201"/>
      <c r="B243" s="201"/>
      <c r="C243" s="227"/>
      <c r="D243" s="228"/>
      <c r="E243" s="228"/>
      <c r="F243" s="203" t="s">
        <v>144</v>
      </c>
      <c r="G243" s="203" t="s">
        <v>148</v>
      </c>
      <c r="H243" s="203" t="s">
        <v>146</v>
      </c>
      <c r="I243" s="203" t="s">
        <v>672</v>
      </c>
      <c r="J243" s="203" t="s">
        <v>344</v>
      </c>
      <c r="K243" s="203" t="s">
        <v>777</v>
      </c>
      <c r="L243" s="203" t="s">
        <v>730</v>
      </c>
      <c r="M243" s="203" t="s">
        <v>731</v>
      </c>
      <c r="N243" s="228"/>
      <c r="O243" s="201"/>
      <c r="P243" s="201"/>
      <c r="Q243" s="201" t="s">
        <v>828</v>
      </c>
      <c r="R243" s="228"/>
      <c r="S243" s="228"/>
      <c r="T243" s="228"/>
      <c r="U243" s="214"/>
      <c r="V243" s="201"/>
      <c r="W243" s="201"/>
      <c r="X243" s="201"/>
      <c r="Y243" s="201"/>
      <c r="Z243" s="201"/>
      <c r="AA243" s="201"/>
      <c r="AB243" s="201"/>
      <c r="AC243" s="201"/>
      <c r="AD243" s="201"/>
      <c r="AE243" s="201"/>
      <c r="AF243" s="201"/>
      <c r="AG243" s="201"/>
      <c r="AH243" s="201"/>
      <c r="AI243" s="201"/>
      <c r="AJ243" s="201"/>
    </row>
    <row r="244" spans="1:36" hidden="1" outlineLevel="2" x14ac:dyDescent="0.25">
      <c r="A244" s="201"/>
      <c r="B244" s="201"/>
      <c r="C244" s="227"/>
      <c r="D244" s="232" t="s">
        <v>27</v>
      </c>
      <c r="E244" s="204" t="s">
        <v>1047</v>
      </c>
      <c r="F244" s="205">
        <f>IF(ISNUMBER(VLOOKUP(LEFT(E244,3),'Material editor'!$D$11:$H$110,'Material editor'!$F$8,0)),VLOOKUP(LEFT(E244,3),'Material editor'!$D$11:$H$110,'Material editor'!$F$8,0),"")</f>
        <v>116264.03039558257</v>
      </c>
      <c r="G244" s="205">
        <f>IF(ISNUMBER(VLOOKUP(LEFT(E244,3),'Material editor'!$D$11:$H$110,'Material editor'!$G$8,0)),VLOOKUP(LEFT(E244,3),'Material editor'!$D$11:$H$110,'Material editor'!$G$8,0),"")</f>
        <v>23190.300000000003</v>
      </c>
      <c r="H244" s="205">
        <f>IF(ISNUMBER(VLOOKUP(LEFT(E244,3),'Material editor'!$D$11:$H$110,'Material editor'!$H$8,0)),VLOOKUP(LEFT(E244,3),'Material editor'!$D$11:$H$110,'Material editor'!$H$8,0),"")</f>
        <v>40</v>
      </c>
      <c r="I244" s="94">
        <v>882</v>
      </c>
      <c r="J244" s="206"/>
      <c r="K244" s="206"/>
      <c r="L244" s="207">
        <f>F244*I244/(1000*1000)*Balance!$H$13/H244</f>
        <v>51.272437404451907</v>
      </c>
      <c r="M244" s="207">
        <f>G244*I244/(1000*1000)*Balance!$H$13/H244</f>
        <v>10.2269223</v>
      </c>
      <c r="N244" s="207" t="str">
        <f>IF(ISTEXT(VLOOKUP(LEFT(E244,3),'Material editor'!$D$11:$AE$110,'Material editor'!$AE$8,0)),VLOOKUP(LEFT(E244,3),'Material editor'!$D$11:$AE$110,'Material editor'!$AE$8,0),"")</f>
        <v/>
      </c>
      <c r="O244" s="201"/>
      <c r="P244" s="201">
        <v>1400</v>
      </c>
      <c r="Q244" s="201">
        <f>P244*I244/(1000*1000)</f>
        <v>1.2347999999999999</v>
      </c>
      <c r="R244" s="228"/>
      <c r="S244" s="228"/>
      <c r="T244" s="228"/>
      <c r="U244" s="214"/>
      <c r="V244" s="201"/>
      <c r="W244" s="201"/>
      <c r="X244" s="201"/>
      <c r="Y244" s="201"/>
      <c r="Z244" s="201"/>
      <c r="AA244" s="201"/>
      <c r="AB244" s="201"/>
      <c r="AC244" s="201"/>
      <c r="AD244" s="201"/>
      <c r="AE244" s="201"/>
      <c r="AF244" s="201"/>
      <c r="AG244" s="201"/>
      <c r="AH244" s="201"/>
      <c r="AI244" s="201"/>
      <c r="AJ244" s="201"/>
    </row>
    <row r="245" spans="1:36" hidden="1" outlineLevel="2" x14ac:dyDescent="0.25">
      <c r="A245" s="201"/>
      <c r="B245" s="201"/>
      <c r="C245" s="227"/>
      <c r="D245" s="232" t="s">
        <v>792</v>
      </c>
      <c r="E245" s="204" t="s">
        <v>822</v>
      </c>
      <c r="F245" s="205">
        <f>IF(ISNUMBER(VLOOKUP(LEFT(E245,3),'Material editor'!$D$11:$H$110,'Material editor'!$F$8,0)),VLOOKUP(LEFT(E245,3),'Material editor'!$D$11:$H$110,'Material editor'!$F$8,0),"")</f>
        <v>30073.963710488388</v>
      </c>
      <c r="G245" s="205">
        <f>IF(ISNUMBER(VLOOKUP(LEFT(E245,3),'Material editor'!$D$11:$H$110,'Material editor'!$G$8,0)),VLOOKUP(LEFT(E245,3),'Material editor'!$D$11:$H$110,'Material editor'!$G$8,0),"")</f>
        <v>5398.458661622054</v>
      </c>
      <c r="H245" s="205">
        <f>IF(ISNUMBER(VLOOKUP(LEFT(E245,3),'Material editor'!$D$11:$H$110,'Material editor'!$H$8,0)),VLOOKUP(LEFT(E245,3),'Material editor'!$D$11:$H$110,'Material editor'!$H$8,0),"")</f>
        <v>40</v>
      </c>
      <c r="I245" s="94">
        <v>740</v>
      </c>
      <c r="J245" s="206"/>
      <c r="K245" s="206"/>
      <c r="L245" s="207">
        <f>F245*I245/(1000*1000)*Balance!$H$13/H245</f>
        <v>11.127366572880703</v>
      </c>
      <c r="M245" s="207">
        <f>G245*I245/(1000*1000)*Balance!$H$13/H245</f>
        <v>1.9974297048001599</v>
      </c>
      <c r="N245" s="207" t="str">
        <f>IF(ISTEXT(VLOOKUP(LEFT(E245,3),'Material editor'!$D$11:$AE$110,'Material editor'!$AE$8,0)),VLOOKUP(LEFT(E245,3),'Material editor'!$D$11:$AE$110,'Material editor'!$AE$8,0),"")</f>
        <v/>
      </c>
      <c r="O245" s="201"/>
      <c r="P245" s="201"/>
      <c r="Q245" s="201"/>
      <c r="R245" s="228"/>
      <c r="S245" s="228"/>
      <c r="T245" s="228"/>
      <c r="U245" s="214"/>
      <c r="V245" s="201"/>
      <c r="W245" s="201"/>
      <c r="X245" s="201"/>
      <c r="Y245" s="201"/>
      <c r="Z245" s="201"/>
      <c r="AA245" s="201"/>
      <c r="AB245" s="201"/>
      <c r="AC245" s="201"/>
      <c r="AD245" s="201"/>
      <c r="AE245" s="201"/>
      <c r="AF245" s="201"/>
      <c r="AG245" s="201"/>
      <c r="AH245" s="201"/>
      <c r="AI245" s="201"/>
      <c r="AJ245" s="201"/>
    </row>
    <row r="246" spans="1:36" hidden="1" outlineLevel="2" x14ac:dyDescent="0.25">
      <c r="A246" s="201"/>
      <c r="B246" s="201"/>
      <c r="C246" s="227"/>
      <c r="D246" s="232" t="s">
        <v>675</v>
      </c>
      <c r="E246" s="204" t="s">
        <v>683</v>
      </c>
      <c r="F246" s="205">
        <f>IF(ISNUMBER(VLOOKUP(LEFT(E246,3),'Material editor'!$D$11:$H$110,'Material editor'!$F$8,0)),VLOOKUP(LEFT(E246,3),'Material editor'!$D$11:$H$110,'Material editor'!$F$8,0),"")</f>
        <v>8577.8982058033398</v>
      </c>
      <c r="G246" s="205">
        <f>IF(ISNUMBER(VLOOKUP(LEFT(E246,3),'Material editor'!$D$11:$H$110,'Material editor'!$G$8,0)),VLOOKUP(LEFT(E246,3),'Material editor'!$D$11:$H$110,'Material editor'!$G$8,0),"")</f>
        <v>1740.6610483823918</v>
      </c>
      <c r="H246" s="205">
        <f>IF(ISNUMBER(VLOOKUP(LEFT(E246,3),'Material editor'!$D$11:$H$110,'Material editor'!$H$8,0)),VLOOKUP(LEFT(E246,3),'Material editor'!$D$11:$H$110,'Material editor'!$H$8,0),"")</f>
        <v>20</v>
      </c>
      <c r="I246" s="94">
        <f>451+60</f>
        <v>511</v>
      </c>
      <c r="J246" s="206"/>
      <c r="K246" s="206"/>
      <c r="L246" s="207">
        <f>F246*I246/(1000*1000)*Balance!$H$13/H246</f>
        <v>4.3833059831655063</v>
      </c>
      <c r="M246" s="207">
        <f>G246*I246/(1000*1000)*Balance!$H$13/H246</f>
        <v>0.88947779572340213</v>
      </c>
      <c r="N246" s="207" t="str">
        <f>IF(ISTEXT(VLOOKUP(LEFT(E246,3),'Material editor'!$D$11:$AE$110,'Material editor'!$AE$8,0)),VLOOKUP(LEFT(E246,3),'Material editor'!$D$11:$AE$110,'Material editor'!$AE$8,0),"")</f>
        <v/>
      </c>
      <c r="O246" s="201"/>
      <c r="P246" s="201"/>
      <c r="Q246" s="201"/>
      <c r="R246" s="228"/>
      <c r="S246" s="228"/>
      <c r="T246" s="228"/>
      <c r="U246" s="214"/>
      <c r="V246" s="201"/>
      <c r="W246" s="201"/>
      <c r="X246" s="201"/>
      <c r="Y246" s="201"/>
      <c r="Z246" s="201"/>
      <c r="AA246" s="201"/>
      <c r="AB246" s="201"/>
      <c r="AC246" s="201"/>
      <c r="AD246" s="201"/>
      <c r="AE246" s="201"/>
      <c r="AF246" s="201"/>
      <c r="AG246" s="201"/>
      <c r="AH246" s="201"/>
      <c r="AI246" s="201"/>
      <c r="AJ246" s="201"/>
    </row>
    <row r="247" spans="1:36" hidden="1" outlineLevel="2" x14ac:dyDescent="0.25">
      <c r="A247" s="201"/>
      <c r="B247" s="201"/>
      <c r="C247" s="227"/>
      <c r="D247" s="232" t="s">
        <v>678</v>
      </c>
      <c r="E247" s="204" t="s">
        <v>1045</v>
      </c>
      <c r="F247" s="205">
        <f>IF(ISNUMBER(VLOOKUP(LEFT(E247,3),'Material editor'!$D$11:$H$110,'Material editor'!$F$8,0)),VLOOKUP(LEFT(E247,3),'Material editor'!$D$11:$H$110,'Material editor'!$F$8,0),"")</f>
        <v>31554.72432133375</v>
      </c>
      <c r="G247" s="205">
        <f>IF(ISNUMBER(VLOOKUP(LEFT(E247,3),'Material editor'!$D$11:$H$110,'Material editor'!$G$8,0)),VLOOKUP(LEFT(E247,3),'Material editor'!$D$11:$H$110,'Material editor'!$G$8,0),"")</f>
        <v>7570.5013256411439</v>
      </c>
      <c r="H247" s="205">
        <f>IF(ISNUMBER(VLOOKUP(LEFT(E247,3),'Material editor'!$D$11:$H$110,'Material editor'!$H$8,0)),VLOOKUP(LEFT(E247,3),'Material editor'!$D$11:$H$110,'Material editor'!$H$8,0),"")</f>
        <v>40</v>
      </c>
      <c r="I247" s="94">
        <v>50</v>
      </c>
      <c r="J247" s="206"/>
      <c r="K247" s="206"/>
      <c r="L247" s="207">
        <f>F247*I247/(1000*1000)*Balance!$H$13/H247</f>
        <v>0.78886810803334373</v>
      </c>
      <c r="M247" s="207">
        <f>G247*I247/(1000*1000)*Balance!$H$13/H247</f>
        <v>0.18926253314102859</v>
      </c>
      <c r="N247" s="207" t="str">
        <f>IF(ISTEXT(VLOOKUP(LEFT(E247,3),'Material editor'!$D$11:$AE$110,'Material editor'!$AE$8,0)),VLOOKUP(LEFT(E247,3),'Material editor'!$D$11:$AE$110,'Material editor'!$AE$8,0),"")</f>
        <v/>
      </c>
      <c r="O247" s="201"/>
      <c r="P247" s="201"/>
      <c r="Q247" s="201"/>
      <c r="R247" s="228"/>
      <c r="S247" s="228"/>
      <c r="T247" s="228"/>
      <c r="U247" s="214"/>
      <c r="V247" s="201"/>
      <c r="W247" s="201"/>
      <c r="X247" s="201"/>
      <c r="Y247" s="201"/>
      <c r="Z247" s="201"/>
      <c r="AA247" s="201"/>
      <c r="AB247" s="201"/>
      <c r="AC247" s="201"/>
      <c r="AD247" s="201"/>
      <c r="AE247" s="201"/>
      <c r="AF247" s="201"/>
      <c r="AG247" s="201"/>
      <c r="AH247" s="201"/>
      <c r="AI247" s="201"/>
      <c r="AJ247" s="201"/>
    </row>
    <row r="248" spans="1:36" hidden="1" outlineLevel="2" x14ac:dyDescent="0.25">
      <c r="A248" s="201"/>
      <c r="B248" s="201"/>
      <c r="C248" s="227"/>
      <c r="D248" s="232" t="s">
        <v>833</v>
      </c>
      <c r="E248" s="204" t="s">
        <v>1046</v>
      </c>
      <c r="F248" s="205">
        <f>IF(ISNUMBER(VLOOKUP(LEFT(E248,3),'Material editor'!$D$11:$H$110,'Material editor'!$F$8,0)),VLOOKUP(LEFT(E248,3),'Material editor'!$D$11:$H$110,'Material editor'!$F$8,0),"")</f>
        <v>647.25297961925958</v>
      </c>
      <c r="G248" s="205">
        <f>IF(ISNUMBER(VLOOKUP(LEFT(E248,3),'Material editor'!$D$11:$H$110,'Material editor'!$G$8,0)),VLOOKUP(LEFT(E248,3),'Material editor'!$D$11:$H$110,'Material editor'!$G$8,0),"")</f>
        <v>153.00099181306416</v>
      </c>
      <c r="H248" s="205">
        <f>IF(ISNUMBER(VLOOKUP(LEFT(E248,3),'Material editor'!$D$11:$H$110,'Material editor'!$H$8,0)),VLOOKUP(LEFT(E248,3),'Material editor'!$D$11:$H$110,'Material editor'!$H$8,0),"")</f>
        <v>40</v>
      </c>
      <c r="I248" s="94">
        <f>2045+2010</f>
        <v>4055</v>
      </c>
      <c r="J248" s="206"/>
      <c r="K248" s="206"/>
      <c r="L248" s="207">
        <f>F248*I248/(1000*1000)*Balance!$H$13/H248</f>
        <v>1.3123054161780487</v>
      </c>
      <c r="M248" s="207">
        <f>G248*I248/(1000*1000)*Balance!$H$13/H248</f>
        <v>0.31020951090098758</v>
      </c>
      <c r="N248" s="207"/>
      <c r="O248" s="201"/>
      <c r="P248" s="201"/>
      <c r="Q248" s="201"/>
      <c r="R248" s="228"/>
      <c r="S248" s="228"/>
      <c r="T248" s="228"/>
      <c r="U248" s="214"/>
      <c r="V248" s="201"/>
      <c r="W248" s="201"/>
      <c r="X248" s="201"/>
      <c r="Y248" s="201"/>
      <c r="Z248" s="201"/>
      <c r="AA248" s="201"/>
      <c r="AB248" s="201"/>
      <c r="AC248" s="201"/>
      <c r="AD248" s="201"/>
      <c r="AE248" s="201"/>
      <c r="AF248" s="201"/>
      <c r="AG248" s="201"/>
      <c r="AH248" s="201"/>
      <c r="AI248" s="201"/>
      <c r="AJ248" s="201"/>
    </row>
    <row r="249" spans="1:36" hidden="1" outlineLevel="2" x14ac:dyDescent="0.25">
      <c r="A249" s="201"/>
      <c r="B249" s="201"/>
      <c r="C249" s="227"/>
      <c r="D249" s="232" t="s">
        <v>831</v>
      </c>
      <c r="E249" s="204" t="s">
        <v>832</v>
      </c>
      <c r="F249" s="205">
        <f>IF(ISNUMBER(VLOOKUP(LEFT(E249,3),'Material editor'!$D$11:$H$110,'Material editor'!$F$8,0)),VLOOKUP(LEFT(E249,3),'Material editor'!$D$11:$H$110,'Material editor'!$F$8,0),"")</f>
        <v>1312.6506024096384</v>
      </c>
      <c r="G249" s="205">
        <f>IF(ISNUMBER(VLOOKUP(LEFT(E249,3),'Material editor'!$D$11:$H$110,'Material editor'!$G$8,0)),VLOOKUP(LEFT(E249,3),'Material editor'!$D$11:$H$110,'Material editor'!$G$8,0),"")</f>
        <v>299.39759036144579</v>
      </c>
      <c r="H249" s="205">
        <f>IF(ISNUMBER(VLOOKUP(LEFT(E249,3),'Material editor'!$D$11:$H$110,'Material editor'!$H$8,0)),VLOOKUP(LEFT(E249,3),'Material editor'!$D$11:$H$110,'Material editor'!$H$8,0),"")</f>
        <v>40</v>
      </c>
      <c r="I249" s="94">
        <v>2130</v>
      </c>
      <c r="J249" s="206"/>
      <c r="K249" s="206"/>
      <c r="L249" s="207">
        <f>F249*I249/(1000*1000)*Balance!$H$13/H249</f>
        <v>1.3979728915662648</v>
      </c>
      <c r="M249" s="207">
        <f>G249*I249/(1000*1000)*Balance!$H$13/H249</f>
        <v>0.31885843373493977</v>
      </c>
      <c r="N249" s="207"/>
      <c r="O249" s="201"/>
      <c r="P249" s="201"/>
      <c r="Q249" s="201"/>
      <c r="R249" s="228"/>
      <c r="S249" s="228"/>
      <c r="T249" s="228"/>
      <c r="U249" s="214"/>
      <c r="V249" s="201"/>
      <c r="W249" s="201"/>
      <c r="X249" s="201"/>
      <c r="Y249" s="201"/>
      <c r="Z249" s="201"/>
      <c r="AA249" s="201"/>
      <c r="AB249" s="201"/>
      <c r="AC249" s="201"/>
      <c r="AD249" s="201"/>
      <c r="AE249" s="201"/>
      <c r="AF249" s="201"/>
      <c r="AG249" s="201"/>
      <c r="AH249" s="201"/>
      <c r="AI249" s="201"/>
      <c r="AJ249" s="201"/>
    </row>
    <row r="250" spans="1:36" hidden="1" outlineLevel="2" x14ac:dyDescent="0.25">
      <c r="A250" s="201"/>
      <c r="B250" s="201"/>
      <c r="C250" s="227"/>
      <c r="D250" s="232" t="s">
        <v>837</v>
      </c>
      <c r="E250" s="204" t="s">
        <v>838</v>
      </c>
      <c r="F250" s="205">
        <f>IF(ISNUMBER(VLOOKUP(LEFT(E250,3),'Material editor'!$D$11:$H$110,'Material editor'!$F$8,0)),VLOOKUP(LEFT(E250,3),'Material editor'!$D$11:$H$110,'Material editor'!$F$8,0),"")</f>
        <v>1501.1321860155845</v>
      </c>
      <c r="G250" s="205">
        <f>IF(ISNUMBER(VLOOKUP(LEFT(E250,3),'Material editor'!$D$11:$H$110,'Material editor'!$G$8,0)),VLOOKUP(LEFT(E250,3),'Material editor'!$D$11:$H$110,'Material editor'!$G$8,0),"")</f>
        <v>53.307744606710749</v>
      </c>
      <c r="H250" s="205">
        <f>IF(ISNUMBER(VLOOKUP(LEFT(E250,3),'Material editor'!$D$11:$H$110,'Material editor'!$H$8,0)),VLOOKUP(LEFT(E250,3),'Material editor'!$D$11:$H$110,'Material editor'!$H$8,0),"")</f>
        <v>20</v>
      </c>
      <c r="I250" s="94">
        <f>380-4*40+140</f>
        <v>360</v>
      </c>
      <c r="J250" s="206"/>
      <c r="K250" s="206"/>
      <c r="L250" s="207">
        <f>F250*I250/(1000*1000)*Balance!$H$13/H250</f>
        <v>0.54040758696561042</v>
      </c>
      <c r="M250" s="207">
        <f>G250*I250/(1000*1000)*Balance!$H$13/H250</f>
        <v>1.919078805841587E-2</v>
      </c>
      <c r="N250" s="207"/>
      <c r="O250" s="201"/>
      <c r="P250" s="201"/>
      <c r="Q250" s="201"/>
      <c r="R250" s="228"/>
      <c r="S250" s="228"/>
      <c r="T250" s="228"/>
      <c r="U250" s="214"/>
      <c r="V250" s="201"/>
      <c r="W250" s="201"/>
      <c r="X250" s="201"/>
      <c r="Y250" s="201"/>
      <c r="Z250" s="201"/>
      <c r="AA250" s="201"/>
      <c r="AB250" s="201"/>
      <c r="AC250" s="201"/>
      <c r="AD250" s="201"/>
      <c r="AE250" s="201"/>
      <c r="AF250" s="201"/>
      <c r="AG250" s="201"/>
      <c r="AH250" s="201"/>
      <c r="AI250" s="201"/>
      <c r="AJ250" s="201"/>
    </row>
    <row r="251" spans="1:36" hidden="1" outlineLevel="2" x14ac:dyDescent="0.25">
      <c r="A251" s="201"/>
      <c r="B251" s="201"/>
      <c r="C251" s="227"/>
      <c r="D251" s="208"/>
      <c r="E251" s="204"/>
      <c r="F251" s="205"/>
      <c r="G251" s="205"/>
      <c r="H251" s="205"/>
      <c r="I251" s="206"/>
      <c r="J251" s="206"/>
      <c r="K251" s="206"/>
      <c r="L251" s="207"/>
      <c r="M251" s="207"/>
      <c r="N251" s="207"/>
      <c r="O251" s="201"/>
      <c r="P251" s="201"/>
      <c r="Q251" s="201"/>
      <c r="R251" s="228"/>
      <c r="S251" s="228"/>
      <c r="T251" s="228"/>
      <c r="U251" s="214"/>
      <c r="V251" s="201"/>
      <c r="W251" s="201"/>
      <c r="X251" s="201"/>
      <c r="Y251" s="201"/>
      <c r="Z251" s="201"/>
      <c r="AA251" s="201"/>
      <c r="AB251" s="201"/>
      <c r="AC251" s="201"/>
      <c r="AD251" s="201"/>
      <c r="AE251" s="201"/>
      <c r="AF251" s="201"/>
      <c r="AG251" s="201"/>
      <c r="AH251" s="201"/>
      <c r="AI251" s="201"/>
      <c r="AJ251" s="201"/>
    </row>
    <row r="252" spans="1:36" hidden="1" outlineLevel="2" x14ac:dyDescent="0.25">
      <c r="A252" s="201"/>
      <c r="B252" s="201"/>
      <c r="C252" s="227"/>
      <c r="D252" s="208"/>
      <c r="E252" s="204"/>
      <c r="F252" s="205"/>
      <c r="G252" s="205"/>
      <c r="H252" s="205"/>
      <c r="I252" s="206"/>
      <c r="J252" s="206"/>
      <c r="K252" s="206"/>
      <c r="L252" s="207"/>
      <c r="M252" s="207"/>
      <c r="N252" s="207"/>
      <c r="O252" s="201"/>
      <c r="P252" s="201"/>
      <c r="Q252" s="201"/>
      <c r="R252" s="228"/>
      <c r="S252" s="228"/>
      <c r="T252" s="228"/>
      <c r="U252" s="214"/>
      <c r="V252" s="201"/>
      <c r="W252" s="201"/>
      <c r="X252" s="201"/>
      <c r="Y252" s="201"/>
      <c r="Z252" s="201"/>
      <c r="AA252" s="201"/>
      <c r="AB252" s="201"/>
      <c r="AC252" s="201"/>
      <c r="AD252" s="201"/>
      <c r="AE252" s="201"/>
      <c r="AF252" s="201"/>
      <c r="AG252" s="201"/>
      <c r="AH252" s="201"/>
      <c r="AI252" s="201"/>
      <c r="AJ252" s="201"/>
    </row>
    <row r="253" spans="1:36" hidden="1" outlineLevel="2" x14ac:dyDescent="0.25">
      <c r="A253" s="201"/>
      <c r="B253" s="201"/>
      <c r="C253" s="227"/>
      <c r="D253" s="208"/>
      <c r="E253" s="204"/>
      <c r="F253" s="205"/>
      <c r="G253" s="205"/>
      <c r="H253" s="205"/>
      <c r="I253" s="206"/>
      <c r="J253" s="206"/>
      <c r="K253" s="206"/>
      <c r="L253" s="207"/>
      <c r="M253" s="207"/>
      <c r="N253" s="207"/>
      <c r="O253" s="201"/>
      <c r="P253" s="201"/>
      <c r="Q253" s="201"/>
      <c r="R253" s="228"/>
      <c r="S253" s="228"/>
      <c r="T253" s="228"/>
      <c r="U253" s="214"/>
      <c r="V253" s="201"/>
      <c r="W253" s="201"/>
      <c r="X253" s="201"/>
      <c r="Y253" s="201"/>
      <c r="Z253" s="201"/>
      <c r="AA253" s="201"/>
      <c r="AB253" s="201"/>
      <c r="AC253" s="201"/>
      <c r="AD253" s="201"/>
      <c r="AE253" s="201"/>
      <c r="AF253" s="201"/>
      <c r="AG253" s="201"/>
      <c r="AH253" s="201"/>
      <c r="AI253" s="201"/>
      <c r="AJ253" s="201"/>
    </row>
    <row r="254" spans="1:36" hidden="1" outlineLevel="2" x14ac:dyDescent="0.25">
      <c r="A254" s="201"/>
      <c r="B254" s="201"/>
      <c r="C254" s="227"/>
      <c r="D254" s="233"/>
      <c r="E254" s="234"/>
      <c r="F254" s="235" t="s">
        <v>732</v>
      </c>
      <c r="G254" s="235" t="s">
        <v>733</v>
      </c>
      <c r="H254" s="235" t="s">
        <v>734</v>
      </c>
      <c r="I254" s="235"/>
      <c r="J254" s="235" t="s">
        <v>778</v>
      </c>
      <c r="K254" s="235"/>
      <c r="L254" s="203" t="s">
        <v>730</v>
      </c>
      <c r="M254" s="203" t="s">
        <v>731</v>
      </c>
      <c r="N254" s="236"/>
      <c r="O254" s="201"/>
      <c r="P254" s="201"/>
      <c r="Q254" s="201"/>
      <c r="R254" s="228"/>
      <c r="S254" s="228"/>
      <c r="T254" s="228"/>
      <c r="U254" s="214"/>
      <c r="V254" s="201"/>
      <c r="W254" s="201"/>
      <c r="X254" s="201"/>
      <c r="Y254" s="201"/>
      <c r="Z254" s="201"/>
      <c r="AA254" s="201"/>
      <c r="AB254" s="201"/>
      <c r="AC254" s="201"/>
      <c r="AD254" s="201"/>
      <c r="AE254" s="201"/>
      <c r="AF254" s="201"/>
      <c r="AG254" s="201"/>
      <c r="AH254" s="201"/>
      <c r="AI254" s="201"/>
      <c r="AJ254" s="201"/>
    </row>
    <row r="255" spans="1:36" hidden="1" outlineLevel="2" x14ac:dyDescent="0.25">
      <c r="A255" s="201"/>
      <c r="B255" s="201"/>
      <c r="C255" s="227"/>
      <c r="D255" s="213" t="s">
        <v>834</v>
      </c>
      <c r="E255" s="133" t="s">
        <v>836</v>
      </c>
      <c r="F255" s="79">
        <v>0.71199999999999997</v>
      </c>
      <c r="G255" s="93">
        <v>3.5999999999999997E-2</v>
      </c>
      <c r="H255" s="93">
        <v>0.14199999999999999</v>
      </c>
      <c r="I255" s="201"/>
      <c r="J255" s="79">
        <v>1.5</v>
      </c>
      <c r="K255" s="228"/>
      <c r="L255" s="237">
        <f>IF(ISNUMBER(J255),J255*SUM(L244:L253),SUM(L244:L253))</f>
        <v>106.23399594486207</v>
      </c>
      <c r="M255" s="237">
        <f>IF(ISNUMBER(J255),J255*SUM(M244:M253),SUM(M244:M253))</f>
        <v>20.927026599538401</v>
      </c>
      <c r="N255" s="133"/>
      <c r="O255" s="201"/>
      <c r="P255" s="201"/>
      <c r="Q255" s="201"/>
      <c r="R255" s="228"/>
      <c r="S255" s="228"/>
      <c r="T255" s="228"/>
      <c r="U255" s="214"/>
      <c r="V255" s="201"/>
      <c r="W255" s="201"/>
      <c r="X255" s="201"/>
      <c r="Y255" s="201"/>
      <c r="Z255" s="201"/>
      <c r="AA255" s="201"/>
      <c r="AB255" s="201"/>
      <c r="AC255" s="201"/>
      <c r="AD255" s="201"/>
      <c r="AE255" s="201"/>
      <c r="AF255" s="201"/>
      <c r="AG255" s="201"/>
      <c r="AH255" s="201"/>
      <c r="AI255" s="201"/>
      <c r="AJ255" s="201"/>
    </row>
    <row r="256" spans="1:36" hidden="1" outlineLevel="2" x14ac:dyDescent="0.25">
      <c r="B256" s="201"/>
      <c r="C256" s="225"/>
      <c r="D256" s="20"/>
      <c r="E256" s="20"/>
      <c r="F256" s="20"/>
      <c r="G256" s="20"/>
      <c r="H256" s="20"/>
      <c r="I256" s="20"/>
      <c r="J256" s="20"/>
      <c r="K256" s="20"/>
      <c r="L256" s="20"/>
      <c r="M256" s="20"/>
      <c r="N256" s="20"/>
      <c r="O256" s="20"/>
      <c r="P256" s="20"/>
      <c r="Q256" s="20"/>
      <c r="R256" s="20"/>
      <c r="S256" s="20"/>
      <c r="T256" s="20"/>
      <c r="U256" s="19"/>
      <c r="W256" s="201"/>
      <c r="X256" s="201"/>
      <c r="Y256" s="201"/>
      <c r="Z256" s="201"/>
      <c r="AA256" s="201"/>
      <c r="AB256" s="201"/>
      <c r="AC256" s="201"/>
      <c r="AD256" s="201"/>
      <c r="AE256" s="201"/>
      <c r="AF256" s="201"/>
      <c r="AG256" s="201"/>
      <c r="AH256" s="201"/>
      <c r="AI256" s="201"/>
      <c r="AJ256" s="201"/>
    </row>
    <row r="257" spans="1:36" hidden="1" outlineLevel="2" x14ac:dyDescent="0.25">
      <c r="A257" s="201"/>
      <c r="B257" s="201"/>
      <c r="C257" s="227"/>
      <c r="D257" s="228">
        <f>COLUMN()</f>
        <v>4</v>
      </c>
      <c r="E257" s="228">
        <f t="shared" ref="E257:N257" si="91">COLUMN()-$D$28+1</f>
        <v>2</v>
      </c>
      <c r="F257" s="228">
        <f t="shared" si="91"/>
        <v>3</v>
      </c>
      <c r="G257" s="228">
        <f t="shared" si="91"/>
        <v>4</v>
      </c>
      <c r="H257" s="228">
        <f t="shared" si="91"/>
        <v>5</v>
      </c>
      <c r="I257" s="228">
        <f t="shared" si="91"/>
        <v>6</v>
      </c>
      <c r="J257" s="228">
        <f t="shared" si="91"/>
        <v>7</v>
      </c>
      <c r="K257" s="228">
        <f t="shared" si="91"/>
        <v>8</v>
      </c>
      <c r="L257" s="228">
        <f t="shared" si="91"/>
        <v>9</v>
      </c>
      <c r="M257" s="228">
        <f t="shared" si="91"/>
        <v>10</v>
      </c>
      <c r="N257" s="228">
        <f t="shared" si="91"/>
        <v>11</v>
      </c>
      <c r="O257" s="201"/>
      <c r="P257" s="201"/>
      <c r="Q257" s="201"/>
      <c r="R257" s="228"/>
      <c r="S257" s="228"/>
      <c r="T257" s="228"/>
      <c r="U257" s="214"/>
      <c r="V257" s="201"/>
      <c r="W257" s="201"/>
      <c r="X257" s="201"/>
      <c r="Y257" s="201"/>
      <c r="Z257" s="201"/>
      <c r="AA257" s="201"/>
      <c r="AB257" s="201"/>
      <c r="AC257" s="201"/>
      <c r="AD257" s="201"/>
      <c r="AE257" s="201"/>
      <c r="AF257" s="201"/>
      <c r="AG257" s="201"/>
      <c r="AH257" s="201"/>
      <c r="AI257" s="201"/>
      <c r="AJ257" s="201"/>
    </row>
    <row r="258" spans="1:36" ht="22.5" hidden="1" outlineLevel="1" collapsed="1" x14ac:dyDescent="0.25">
      <c r="A258" s="201"/>
      <c r="B258" s="201"/>
      <c r="C258" s="260" t="str">
        <f>D271</f>
        <v>Schüco AWS 90.si+</v>
      </c>
      <c r="D258" s="228"/>
      <c r="E258" s="202" t="s">
        <v>82</v>
      </c>
      <c r="F258" s="202" t="str">
        <f>'Material editor'!$F$9</f>
        <v>Manfacturing energy</v>
      </c>
      <c r="G258" s="202" t="s">
        <v>149</v>
      </c>
      <c r="H258" s="202" t="str">
        <f>'Material editor'!$H$9</f>
        <v>Service life</v>
      </c>
      <c r="I258" s="202" t="s">
        <v>671</v>
      </c>
      <c r="J258" s="202" t="s">
        <v>679</v>
      </c>
      <c r="K258" s="202" t="s">
        <v>776</v>
      </c>
      <c r="L258" s="202" t="s">
        <v>143</v>
      </c>
      <c r="M258" s="202" t="s">
        <v>149</v>
      </c>
      <c r="N258" s="202" t="str">
        <f>'Material editor'!$AE$9</f>
        <v>Comment PHI</v>
      </c>
      <c r="O258" s="201"/>
      <c r="P258" s="201"/>
      <c r="Q258" s="201"/>
      <c r="R258" s="228"/>
      <c r="S258" s="228"/>
      <c r="T258" s="228"/>
      <c r="U258" s="214"/>
      <c r="V258" s="201"/>
      <c r="W258" s="201"/>
      <c r="X258" s="201"/>
      <c r="Y258" s="201"/>
      <c r="Z258" s="201"/>
      <c r="AA258" s="201"/>
      <c r="AB258" s="201"/>
      <c r="AC258" s="201"/>
      <c r="AD258" s="201"/>
      <c r="AE258" s="201"/>
      <c r="AF258" s="201"/>
      <c r="AG258" s="201"/>
      <c r="AH258" s="201"/>
      <c r="AI258" s="201"/>
      <c r="AJ258" s="201"/>
    </row>
    <row r="259" spans="1:36" hidden="1" outlineLevel="2" x14ac:dyDescent="0.25">
      <c r="A259" s="201"/>
      <c r="B259" s="201"/>
      <c r="C259" s="227"/>
      <c r="D259" s="228"/>
      <c r="E259" s="228"/>
      <c r="F259" s="203" t="s">
        <v>144</v>
      </c>
      <c r="G259" s="203" t="s">
        <v>148</v>
      </c>
      <c r="H259" s="203" t="s">
        <v>146</v>
      </c>
      <c r="I259" s="203" t="s">
        <v>672</v>
      </c>
      <c r="J259" s="203" t="s">
        <v>344</v>
      </c>
      <c r="K259" s="203" t="s">
        <v>777</v>
      </c>
      <c r="L259" s="203" t="s">
        <v>730</v>
      </c>
      <c r="M259" s="203" t="s">
        <v>731</v>
      </c>
      <c r="N259" s="228"/>
      <c r="O259" s="201"/>
      <c r="P259" s="201"/>
      <c r="Q259" s="201" t="s">
        <v>828</v>
      </c>
      <c r="R259" s="228"/>
      <c r="S259" s="228"/>
      <c r="T259" s="228"/>
      <c r="U259" s="214"/>
      <c r="V259" s="201"/>
      <c r="W259" s="201"/>
      <c r="X259" s="201"/>
      <c r="Y259" s="201"/>
      <c r="Z259" s="201"/>
      <c r="AA259" s="201"/>
      <c r="AB259" s="201"/>
      <c r="AC259" s="201"/>
      <c r="AD259" s="201"/>
      <c r="AE259" s="201"/>
      <c r="AF259" s="201"/>
      <c r="AG259" s="201"/>
      <c r="AH259" s="201"/>
      <c r="AI259" s="201"/>
      <c r="AJ259" s="201"/>
    </row>
    <row r="260" spans="1:36" hidden="1" outlineLevel="2" x14ac:dyDescent="0.25">
      <c r="A260" s="201"/>
      <c r="B260" s="201"/>
      <c r="C260" s="227"/>
      <c r="D260" s="232" t="s">
        <v>887</v>
      </c>
      <c r="E260" s="204" t="s">
        <v>1053</v>
      </c>
      <c r="F260" s="205">
        <f>IF(ISNUMBER(VLOOKUP(LEFT(E260,3),'Material editor'!$D$11:$H$110,'Material editor'!$F$8,0)),VLOOKUP(LEFT(E260,3),'Material editor'!$D$11:$H$110,'Material editor'!$F$8,0),"")</f>
        <v>1637.5920842222076</v>
      </c>
      <c r="G260" s="205">
        <f>IF(ISNUMBER(VLOOKUP(LEFT(E260,3),'Material editor'!$D$11:$H$110,'Material editor'!$G$8,0)),VLOOKUP(LEFT(E260,3),'Material editor'!$D$11:$H$110,'Material editor'!$G$8,0),"")</f>
        <v>462.707839533021</v>
      </c>
      <c r="H260" s="205">
        <f>IF(ISNUMBER(VLOOKUP(LEFT(E260,3),'Material editor'!$D$11:$H$110,'Material editor'!$H$8,0)),VLOOKUP(LEFT(E260,3),'Material editor'!$D$11:$H$110,'Material editor'!$H$8,0),"")</f>
        <v>40</v>
      </c>
      <c r="I260" s="94">
        <f>H271*1000*1000</f>
        <v>188000</v>
      </c>
      <c r="J260" s="206"/>
      <c r="K260" s="206"/>
      <c r="L260" s="207">
        <f>F260*I260/(1000*1000)*Balance!$H$13/H260</f>
        <v>153.93365591688752</v>
      </c>
      <c r="M260" s="207">
        <f>G260*I260/(1000*1000)*Balance!$H$13/H260</f>
        <v>43.494536916103975</v>
      </c>
      <c r="N260" s="207" t="str">
        <f>IF(ISTEXT(VLOOKUP(LEFT(E260,3),'Material editor'!$D$11:$AE$110,'Material editor'!$AE$8,0)),VLOOKUP(LEFT(E260,3),'Material editor'!$D$11:$AE$110,'Material editor'!$AE$8,0),"")</f>
        <v>kk 2022-04-19: according to dataset: Als funktionale Einheit wurde ein (virtueller) m² Rahmen festgelegt. Es handelt sich dabei nicht um die Menge 
Rahmen pro m² Produkt, sondern um 1 m² Verglasung bzw. um einen (virtuellen) m² Rahmen, d.h. ein beispielsweise 10 cm breiter und 1 m langer Rahmen wird mit dem Faktor 10 auf 1 m² Rahmen umgerechnet.</v>
      </c>
      <c r="O260" s="201"/>
      <c r="P260" s="201">
        <v>1400</v>
      </c>
      <c r="Q260" s="201">
        <f>P260*I260/(1000*1000)</f>
        <v>263.2</v>
      </c>
      <c r="R260" s="228"/>
      <c r="S260" s="228"/>
      <c r="T260" s="228"/>
      <c r="U260" s="214"/>
      <c r="V260" s="201"/>
      <c r="W260" s="201"/>
      <c r="X260" s="201"/>
      <c r="Y260" s="201"/>
      <c r="Z260" s="201"/>
      <c r="AA260" s="201"/>
      <c r="AB260" s="201"/>
      <c r="AC260" s="201"/>
      <c r="AD260" s="201"/>
      <c r="AE260" s="201"/>
      <c r="AF260" s="201"/>
      <c r="AG260" s="201"/>
      <c r="AH260" s="201"/>
      <c r="AI260" s="201"/>
      <c r="AJ260" s="201"/>
    </row>
    <row r="261" spans="1:36" hidden="1" outlineLevel="2" x14ac:dyDescent="0.25">
      <c r="A261" s="201"/>
      <c r="B261" s="201"/>
      <c r="C261" s="227"/>
      <c r="D261" s="232"/>
      <c r="E261" s="204"/>
      <c r="F261" s="205"/>
      <c r="G261" s="205"/>
      <c r="H261" s="205"/>
      <c r="I261" s="94"/>
      <c r="J261" s="206"/>
      <c r="K261" s="206"/>
      <c r="L261" s="207"/>
      <c r="M261" s="207"/>
      <c r="N261" s="207"/>
      <c r="O261" s="201"/>
      <c r="P261" s="201"/>
      <c r="Q261" s="201"/>
      <c r="R261" s="228"/>
      <c r="S261" s="228"/>
      <c r="T261" s="228"/>
      <c r="U261" s="214"/>
      <c r="V261" s="201"/>
      <c r="W261" s="201"/>
      <c r="X261" s="201"/>
      <c r="Y261" s="201"/>
      <c r="Z261" s="201"/>
      <c r="AA261" s="201"/>
      <c r="AB261" s="201"/>
      <c r="AC261" s="201"/>
      <c r="AD261" s="201"/>
      <c r="AE261" s="201"/>
      <c r="AF261" s="201"/>
      <c r="AG261" s="201"/>
      <c r="AH261" s="201"/>
      <c r="AI261" s="201"/>
      <c r="AJ261" s="201"/>
    </row>
    <row r="262" spans="1:36" hidden="1" outlineLevel="2" x14ac:dyDescent="0.25">
      <c r="A262" s="201"/>
      <c r="B262" s="201"/>
      <c r="C262" s="227"/>
      <c r="D262" s="232"/>
      <c r="E262" s="204"/>
      <c r="F262" s="205"/>
      <c r="G262" s="205"/>
      <c r="H262" s="205"/>
      <c r="I262" s="94"/>
      <c r="J262" s="206"/>
      <c r="K262" s="206"/>
      <c r="L262" s="207"/>
      <c r="M262" s="207"/>
      <c r="N262" s="207"/>
      <c r="O262" s="201"/>
      <c r="P262" s="201"/>
      <c r="Q262" s="201"/>
      <c r="R262" s="228"/>
      <c r="S262" s="228"/>
      <c r="T262" s="228"/>
      <c r="U262" s="214"/>
      <c r="V262" s="201"/>
      <c r="W262" s="201"/>
      <c r="X262" s="201"/>
      <c r="Y262" s="201"/>
      <c r="Z262" s="201"/>
      <c r="AA262" s="201"/>
      <c r="AB262" s="201"/>
      <c r="AC262" s="201"/>
      <c r="AD262" s="201"/>
      <c r="AE262" s="201"/>
      <c r="AF262" s="201"/>
      <c r="AG262" s="201"/>
      <c r="AH262" s="201"/>
      <c r="AI262" s="201"/>
      <c r="AJ262" s="201"/>
    </row>
    <row r="263" spans="1:36" hidden="1" outlineLevel="2" x14ac:dyDescent="0.25">
      <c r="A263" s="201"/>
      <c r="B263" s="201"/>
      <c r="C263" s="227"/>
      <c r="D263" s="232"/>
      <c r="E263" s="204"/>
      <c r="F263" s="205"/>
      <c r="G263" s="205"/>
      <c r="H263" s="205"/>
      <c r="I263" s="94"/>
      <c r="J263" s="206"/>
      <c r="K263" s="206"/>
      <c r="L263" s="207"/>
      <c r="M263" s="207"/>
      <c r="N263" s="207"/>
      <c r="O263" s="201"/>
      <c r="P263" s="201"/>
      <c r="Q263" s="201"/>
      <c r="R263" s="228"/>
      <c r="S263" s="228"/>
      <c r="T263" s="228"/>
      <c r="U263" s="214"/>
      <c r="V263" s="201"/>
      <c r="W263" s="201"/>
      <c r="X263" s="201"/>
      <c r="Y263" s="201"/>
      <c r="Z263" s="201"/>
      <c r="AA263" s="201"/>
      <c r="AB263" s="201"/>
      <c r="AC263" s="201"/>
      <c r="AD263" s="201"/>
      <c r="AE263" s="201"/>
      <c r="AF263" s="201"/>
      <c r="AG263" s="201"/>
      <c r="AH263" s="201"/>
      <c r="AI263" s="201"/>
      <c r="AJ263" s="201"/>
    </row>
    <row r="264" spans="1:36" hidden="1" outlineLevel="2" x14ac:dyDescent="0.25">
      <c r="A264" s="201"/>
      <c r="B264" s="201"/>
      <c r="C264" s="227"/>
      <c r="D264" s="232"/>
      <c r="E264" s="204"/>
      <c r="F264" s="205"/>
      <c r="G264" s="205"/>
      <c r="H264" s="205"/>
      <c r="I264" s="94"/>
      <c r="J264" s="206"/>
      <c r="K264" s="206"/>
      <c r="L264" s="207"/>
      <c r="M264" s="207"/>
      <c r="N264" s="207"/>
      <c r="O264" s="201"/>
      <c r="P264" s="201"/>
      <c r="Q264" s="201"/>
      <c r="R264" s="228"/>
      <c r="S264" s="228"/>
      <c r="T264" s="228"/>
      <c r="U264" s="214"/>
      <c r="V264" s="201"/>
      <c r="W264" s="201"/>
      <c r="X264" s="201"/>
      <c r="Y264" s="201"/>
      <c r="Z264" s="201"/>
      <c r="AA264" s="201"/>
      <c r="AB264" s="201"/>
      <c r="AC264" s="201"/>
      <c r="AD264" s="201"/>
      <c r="AE264" s="201"/>
      <c r="AF264" s="201"/>
      <c r="AG264" s="201"/>
      <c r="AH264" s="201"/>
      <c r="AI264" s="201"/>
      <c r="AJ264" s="201"/>
    </row>
    <row r="265" spans="1:36" hidden="1" outlineLevel="2" x14ac:dyDescent="0.25">
      <c r="A265" s="201"/>
      <c r="B265" s="201"/>
      <c r="C265" s="227"/>
      <c r="D265" s="232"/>
      <c r="E265" s="204"/>
      <c r="F265" s="205"/>
      <c r="G265" s="205"/>
      <c r="H265" s="205"/>
      <c r="I265" s="94"/>
      <c r="J265" s="206"/>
      <c r="K265" s="206"/>
      <c r="L265" s="207"/>
      <c r="M265" s="207"/>
      <c r="N265" s="207"/>
      <c r="O265" s="201"/>
      <c r="P265" s="201"/>
      <c r="Q265" s="201"/>
      <c r="R265" s="228"/>
      <c r="S265" s="228"/>
      <c r="T265" s="228"/>
      <c r="U265" s="214"/>
      <c r="V265" s="201"/>
      <c r="W265" s="201"/>
      <c r="X265" s="201"/>
      <c r="Y265" s="201"/>
      <c r="Z265" s="201"/>
      <c r="AA265" s="201"/>
      <c r="AB265" s="201"/>
      <c r="AC265" s="201"/>
      <c r="AD265" s="201"/>
      <c r="AE265" s="201"/>
      <c r="AF265" s="201"/>
      <c r="AG265" s="201"/>
      <c r="AH265" s="201"/>
      <c r="AI265" s="201"/>
      <c r="AJ265" s="201"/>
    </row>
    <row r="266" spans="1:36" hidden="1" outlineLevel="2" x14ac:dyDescent="0.25">
      <c r="A266" s="201"/>
      <c r="B266" s="201"/>
      <c r="C266" s="227"/>
      <c r="D266" s="232"/>
      <c r="E266" s="204"/>
      <c r="F266" s="205"/>
      <c r="G266" s="205"/>
      <c r="H266" s="205"/>
      <c r="I266" s="94"/>
      <c r="J266" s="206"/>
      <c r="K266" s="206"/>
      <c r="L266" s="207"/>
      <c r="M266" s="207"/>
      <c r="N266" s="207"/>
      <c r="O266" s="201"/>
      <c r="P266" s="201"/>
      <c r="Q266" s="201"/>
      <c r="R266" s="228"/>
      <c r="S266" s="228"/>
      <c r="T266" s="228"/>
      <c r="U266" s="214"/>
      <c r="V266" s="201"/>
      <c r="W266" s="201"/>
      <c r="X266" s="201"/>
      <c r="Y266" s="201"/>
      <c r="Z266" s="201"/>
      <c r="AA266" s="201"/>
      <c r="AB266" s="201"/>
      <c r="AC266" s="201"/>
      <c r="AD266" s="201"/>
      <c r="AE266" s="201"/>
      <c r="AF266" s="201"/>
      <c r="AG266" s="201"/>
      <c r="AH266" s="201"/>
      <c r="AI266" s="201"/>
      <c r="AJ266" s="201"/>
    </row>
    <row r="267" spans="1:36" hidden="1" outlineLevel="2" x14ac:dyDescent="0.25">
      <c r="A267" s="201"/>
      <c r="B267" s="201"/>
      <c r="C267" s="227"/>
      <c r="D267" s="208"/>
      <c r="E267" s="204"/>
      <c r="F267" s="205"/>
      <c r="G267" s="205"/>
      <c r="H267" s="205"/>
      <c r="I267" s="206"/>
      <c r="J267" s="206"/>
      <c r="K267" s="206"/>
      <c r="L267" s="207"/>
      <c r="M267" s="207"/>
      <c r="N267" s="207"/>
      <c r="O267" s="201"/>
      <c r="P267" s="201"/>
      <c r="Q267" s="201"/>
      <c r="R267" s="228"/>
      <c r="S267" s="228"/>
      <c r="T267" s="228"/>
      <c r="U267" s="214"/>
      <c r="V267" s="201"/>
      <c r="W267" s="201"/>
      <c r="X267" s="201"/>
      <c r="Y267" s="201"/>
      <c r="Z267" s="201"/>
      <c r="AA267" s="201"/>
      <c r="AB267" s="201"/>
      <c r="AC267" s="201"/>
      <c r="AD267" s="201"/>
      <c r="AE267" s="201"/>
      <c r="AF267" s="201"/>
      <c r="AG267" s="201"/>
      <c r="AH267" s="201"/>
      <c r="AI267" s="201"/>
      <c r="AJ267" s="201"/>
    </row>
    <row r="268" spans="1:36" hidden="1" outlineLevel="2" x14ac:dyDescent="0.25">
      <c r="A268" s="201"/>
      <c r="B268" s="201"/>
      <c r="C268" s="227"/>
      <c r="D268" s="208"/>
      <c r="E268" s="204"/>
      <c r="F268" s="205"/>
      <c r="G268" s="205"/>
      <c r="H268" s="205"/>
      <c r="I268" s="206"/>
      <c r="J268" s="206"/>
      <c r="K268" s="206"/>
      <c r="L268" s="207"/>
      <c r="M268" s="207"/>
      <c r="N268" s="207"/>
      <c r="O268" s="201"/>
      <c r="P268" s="201"/>
      <c r="Q268" s="201"/>
      <c r="R268" s="228"/>
      <c r="S268" s="228"/>
      <c r="T268" s="228"/>
      <c r="U268" s="214"/>
      <c r="V268" s="201"/>
      <c r="W268" s="201"/>
      <c r="X268" s="201"/>
      <c r="Y268" s="201"/>
      <c r="Z268" s="201"/>
      <c r="AA268" s="201"/>
      <c r="AB268" s="201"/>
      <c r="AC268" s="201"/>
      <c r="AD268" s="201"/>
      <c r="AE268" s="201"/>
      <c r="AF268" s="201"/>
      <c r="AG268" s="201"/>
      <c r="AH268" s="201"/>
      <c r="AI268" s="201"/>
      <c r="AJ268" s="201"/>
    </row>
    <row r="269" spans="1:36" hidden="1" outlineLevel="2" x14ac:dyDescent="0.25">
      <c r="A269" s="201"/>
      <c r="B269" s="201"/>
      <c r="C269" s="227"/>
      <c r="D269" s="208"/>
      <c r="E269" s="204"/>
      <c r="F269" s="205"/>
      <c r="G269" s="205"/>
      <c r="H269" s="205"/>
      <c r="I269" s="206"/>
      <c r="J269" s="206"/>
      <c r="K269" s="206"/>
      <c r="L269" s="207"/>
      <c r="M269" s="207"/>
      <c r="N269" s="207"/>
      <c r="O269" s="201"/>
      <c r="P269" s="201"/>
      <c r="Q269" s="201"/>
      <c r="R269" s="228"/>
      <c r="S269" s="228"/>
      <c r="T269" s="228"/>
      <c r="U269" s="214"/>
      <c r="V269" s="201"/>
      <c r="W269" s="201"/>
      <c r="X269" s="201"/>
      <c r="Y269" s="201"/>
      <c r="Z269" s="201"/>
      <c r="AA269" s="201"/>
      <c r="AB269" s="201"/>
      <c r="AC269" s="201"/>
      <c r="AD269" s="201"/>
      <c r="AE269" s="201"/>
      <c r="AF269" s="201"/>
      <c r="AG269" s="201"/>
      <c r="AH269" s="201"/>
      <c r="AI269" s="201"/>
      <c r="AJ269" s="201"/>
    </row>
    <row r="270" spans="1:36" hidden="1" outlineLevel="2" x14ac:dyDescent="0.25">
      <c r="A270" s="201"/>
      <c r="B270" s="201"/>
      <c r="C270" s="227"/>
      <c r="D270" s="233"/>
      <c r="E270" s="234"/>
      <c r="F270" s="235" t="s">
        <v>732</v>
      </c>
      <c r="G270" s="235" t="s">
        <v>733</v>
      </c>
      <c r="H270" s="235" t="s">
        <v>734</v>
      </c>
      <c r="I270" s="235"/>
      <c r="J270" s="235" t="s">
        <v>778</v>
      </c>
      <c r="K270" s="235"/>
      <c r="L270" s="203" t="s">
        <v>730</v>
      </c>
      <c r="M270" s="203" t="s">
        <v>731</v>
      </c>
      <c r="N270" s="236"/>
      <c r="O270" s="201"/>
      <c r="P270" s="201"/>
      <c r="Q270" s="201"/>
      <c r="R270" s="228"/>
      <c r="S270" s="228"/>
      <c r="T270" s="228"/>
      <c r="U270" s="214"/>
      <c r="V270" s="201"/>
      <c r="W270" s="201"/>
      <c r="X270" s="201"/>
      <c r="Y270" s="201"/>
      <c r="Z270" s="201"/>
      <c r="AA270" s="201"/>
      <c r="AB270" s="201"/>
      <c r="AC270" s="201"/>
      <c r="AD270" s="201"/>
      <c r="AE270" s="201"/>
      <c r="AF270" s="201"/>
      <c r="AG270" s="201"/>
      <c r="AH270" s="201"/>
      <c r="AI270" s="201"/>
      <c r="AJ270" s="201"/>
    </row>
    <row r="271" spans="1:36" hidden="1" outlineLevel="2" x14ac:dyDescent="0.25">
      <c r="A271" s="201"/>
      <c r="B271" s="201"/>
      <c r="C271" s="227"/>
      <c r="D271" s="232" t="s">
        <v>887</v>
      </c>
      <c r="E271" s="133" t="s">
        <v>888</v>
      </c>
      <c r="F271" s="79">
        <v>0.79</v>
      </c>
      <c r="G271" s="93">
        <v>2.3E-2</v>
      </c>
      <c r="H271" s="93">
        <v>0.188</v>
      </c>
      <c r="I271" s="201"/>
      <c r="J271" s="138">
        <v>1</v>
      </c>
      <c r="K271" s="228"/>
      <c r="L271" s="237">
        <f>IF(ISNUMBER(J271),J271*SUM(L260:L269),SUM(L260:L269))</f>
        <v>153.93365591688752</v>
      </c>
      <c r="M271" s="237">
        <f>IF(ISNUMBER(J271),J271*SUM(M260:M269),SUM(M260:M269))</f>
        <v>43.494536916103975</v>
      </c>
      <c r="N271" s="133"/>
      <c r="O271" s="201"/>
      <c r="P271" s="201"/>
      <c r="Q271" s="201"/>
      <c r="R271" s="228"/>
      <c r="S271" s="228"/>
      <c r="T271" s="228"/>
      <c r="U271" s="214"/>
      <c r="V271" s="201"/>
      <c r="W271" s="201"/>
      <c r="X271" s="201"/>
      <c r="Y271" s="201"/>
      <c r="Z271" s="201"/>
      <c r="AA271" s="201"/>
      <c r="AB271" s="201"/>
      <c r="AC271" s="201"/>
      <c r="AD271" s="201"/>
      <c r="AE271" s="201"/>
      <c r="AF271" s="201"/>
      <c r="AG271" s="201"/>
      <c r="AH271" s="201"/>
      <c r="AI271" s="201"/>
      <c r="AJ271" s="201"/>
    </row>
    <row r="272" spans="1:36" hidden="1" outlineLevel="2" x14ac:dyDescent="0.25">
      <c r="B272" s="201"/>
      <c r="C272" s="225"/>
      <c r="D272" s="20"/>
      <c r="E272" s="20"/>
      <c r="F272" s="20"/>
      <c r="G272" s="20"/>
      <c r="H272" s="20"/>
      <c r="I272" s="20"/>
      <c r="J272" s="20"/>
      <c r="K272" s="20"/>
      <c r="L272" s="20"/>
      <c r="M272" s="20"/>
      <c r="N272" s="20"/>
      <c r="O272" s="20"/>
      <c r="P272" s="20"/>
      <c r="Q272" s="20"/>
      <c r="R272" s="20"/>
      <c r="S272" s="20"/>
      <c r="T272" s="20"/>
      <c r="U272" s="19"/>
      <c r="W272" s="201"/>
      <c r="X272" s="201"/>
      <c r="Y272" s="201"/>
      <c r="Z272" s="201"/>
      <c r="AA272" s="201"/>
      <c r="AB272" s="201"/>
      <c r="AC272" s="201"/>
      <c r="AD272" s="201"/>
      <c r="AE272" s="201"/>
      <c r="AF272" s="201"/>
      <c r="AG272" s="201"/>
      <c r="AH272" s="201"/>
      <c r="AI272" s="201"/>
      <c r="AJ272" s="201"/>
    </row>
    <row r="273" spans="1:36" hidden="1" outlineLevel="2" x14ac:dyDescent="0.25">
      <c r="A273" s="201"/>
      <c r="B273" s="201"/>
      <c r="C273" s="227"/>
      <c r="D273" s="228">
        <f>COLUMN()</f>
        <v>4</v>
      </c>
      <c r="E273" s="228">
        <f t="shared" ref="E273:N273" si="92">COLUMN()-$D$28+1</f>
        <v>2</v>
      </c>
      <c r="F273" s="228">
        <f t="shared" si="92"/>
        <v>3</v>
      </c>
      <c r="G273" s="228">
        <f t="shared" si="92"/>
        <v>4</v>
      </c>
      <c r="H273" s="228">
        <f t="shared" si="92"/>
        <v>5</v>
      </c>
      <c r="I273" s="228">
        <f t="shared" si="92"/>
        <v>6</v>
      </c>
      <c r="J273" s="228">
        <f t="shared" si="92"/>
        <v>7</v>
      </c>
      <c r="K273" s="228">
        <f t="shared" si="92"/>
        <v>8</v>
      </c>
      <c r="L273" s="228">
        <f t="shared" si="92"/>
        <v>9</v>
      </c>
      <c r="M273" s="228">
        <f t="shared" si="92"/>
        <v>10</v>
      </c>
      <c r="N273" s="228">
        <f t="shared" si="92"/>
        <v>11</v>
      </c>
      <c r="O273" s="201"/>
      <c r="P273" s="201"/>
      <c r="Q273" s="201"/>
      <c r="R273" s="228"/>
      <c r="S273" s="228"/>
      <c r="T273" s="228"/>
      <c r="U273" s="214"/>
      <c r="V273" s="201"/>
      <c r="W273" s="201"/>
      <c r="X273" s="201"/>
      <c r="Y273" s="201"/>
      <c r="Z273" s="201"/>
      <c r="AA273" s="201"/>
      <c r="AB273" s="201"/>
      <c r="AC273" s="201"/>
      <c r="AD273" s="201"/>
      <c r="AE273" s="201"/>
      <c r="AF273" s="201"/>
      <c r="AG273" s="201"/>
      <c r="AH273" s="201"/>
      <c r="AI273" s="201"/>
      <c r="AJ273" s="201"/>
    </row>
    <row r="274" spans="1:36" ht="22.5" hidden="1" outlineLevel="1" collapsed="1" x14ac:dyDescent="0.25">
      <c r="A274" s="201"/>
      <c r="B274" s="201"/>
      <c r="C274" s="260" t="str">
        <f>D287</f>
        <v>Smartwin Solar</v>
      </c>
      <c r="D274" s="228"/>
      <c r="E274" s="202" t="s">
        <v>82</v>
      </c>
      <c r="F274" s="202" t="str">
        <f>'Material editor'!$F$9</f>
        <v>Manfacturing energy</v>
      </c>
      <c r="G274" s="202" t="s">
        <v>149</v>
      </c>
      <c r="H274" s="202" t="str">
        <f>'Material editor'!$H$9</f>
        <v>Service life</v>
      </c>
      <c r="I274" s="202" t="s">
        <v>671</v>
      </c>
      <c r="J274" s="202" t="s">
        <v>679</v>
      </c>
      <c r="K274" s="202" t="s">
        <v>776</v>
      </c>
      <c r="L274" s="202" t="s">
        <v>143</v>
      </c>
      <c r="M274" s="202" t="s">
        <v>149</v>
      </c>
      <c r="N274" s="202" t="str">
        <f>'Material editor'!$AE$9</f>
        <v>Comment PHI</v>
      </c>
      <c r="O274" s="201"/>
      <c r="P274" s="201"/>
      <c r="Q274" s="201"/>
      <c r="R274" s="228"/>
      <c r="S274" s="228"/>
      <c r="T274" s="228"/>
      <c r="U274" s="214"/>
      <c r="V274" s="201"/>
      <c r="W274" s="201"/>
      <c r="X274" s="201"/>
      <c r="Y274" s="201"/>
      <c r="Z274" s="201"/>
      <c r="AA274" s="201"/>
      <c r="AB274" s="201"/>
      <c r="AC274" s="201"/>
      <c r="AD274" s="201"/>
      <c r="AE274" s="201"/>
      <c r="AF274" s="201"/>
      <c r="AG274" s="201"/>
      <c r="AH274" s="201"/>
      <c r="AI274" s="201"/>
      <c r="AJ274" s="201"/>
    </row>
    <row r="275" spans="1:36" hidden="1" outlineLevel="2" x14ac:dyDescent="0.25">
      <c r="A275" s="201"/>
      <c r="B275" s="201"/>
      <c r="C275" s="227"/>
      <c r="D275" s="228"/>
      <c r="E275" s="228"/>
      <c r="F275" s="203" t="s">
        <v>144</v>
      </c>
      <c r="G275" s="203" t="s">
        <v>148</v>
      </c>
      <c r="H275" s="203" t="s">
        <v>146</v>
      </c>
      <c r="I275" s="203" t="s">
        <v>672</v>
      </c>
      <c r="J275" s="203" t="s">
        <v>344</v>
      </c>
      <c r="K275" s="203" t="s">
        <v>777</v>
      </c>
      <c r="L275" s="203" t="s">
        <v>730</v>
      </c>
      <c r="M275" s="203" t="s">
        <v>731</v>
      </c>
      <c r="N275" s="228"/>
      <c r="O275" s="201"/>
      <c r="P275" s="201"/>
      <c r="Q275" s="201"/>
      <c r="R275" s="228"/>
      <c r="S275" s="228"/>
      <c r="T275" s="228"/>
      <c r="U275" s="214"/>
      <c r="V275" s="201"/>
      <c r="W275" s="201"/>
      <c r="X275" s="201"/>
      <c r="Y275" s="201"/>
      <c r="Z275" s="201"/>
      <c r="AA275" s="201"/>
      <c r="AB275" s="201"/>
      <c r="AC275" s="201"/>
      <c r="AD275" s="201"/>
      <c r="AE275" s="201"/>
      <c r="AF275" s="201"/>
      <c r="AG275" s="201"/>
      <c r="AH275" s="201"/>
      <c r="AI275" s="201"/>
      <c r="AJ275" s="201"/>
    </row>
    <row r="276" spans="1:36" hidden="1" outlineLevel="2" x14ac:dyDescent="0.25">
      <c r="A276" s="201"/>
      <c r="B276" s="201"/>
      <c r="C276" s="227"/>
      <c r="D276" s="232" t="s">
        <v>674</v>
      </c>
      <c r="E276" s="204" t="s">
        <v>670</v>
      </c>
      <c r="F276" s="205">
        <f>IF(ISNUMBER(VLOOKUP(LEFT(E276,3),'Material editor'!$D$11:$H$110,'Material editor'!$F$8,0)),VLOOKUP(LEFT(E276,3),'Material editor'!$D$11:$H$110,'Material editor'!$F$8,0),"")</f>
        <v>1434.0932694222695</v>
      </c>
      <c r="G276" s="205">
        <f>IF(ISNUMBER(VLOOKUP(LEFT(E276,3),'Material editor'!$D$11:$H$110,'Material editor'!$G$8,0)),VLOOKUP(LEFT(E276,3),'Material editor'!$D$11:$H$110,'Material editor'!$G$8,0),"")</f>
        <v>-636.14449532812898</v>
      </c>
      <c r="H276" s="205">
        <f>IF(ISNUMBER(VLOOKUP(LEFT(E276,3),'Material editor'!$D$11:$H$110,'Material editor'!$H$8,0)),VLOOKUP(LEFT(E276,3),'Material editor'!$D$11:$H$110,'Material editor'!$H$8,0),"")</f>
        <v>40</v>
      </c>
      <c r="I276" s="94">
        <f>4345+2285</f>
        <v>6630</v>
      </c>
      <c r="J276" s="206"/>
      <c r="K276" s="206"/>
      <c r="L276" s="207">
        <f>F276*I276/(1000*1000)*Balance!$H$13/H276</f>
        <v>4.7540191881348228</v>
      </c>
      <c r="M276" s="207">
        <f>G276*I276/(1000*1000)*Balance!$H$13/H276</f>
        <v>-2.1088190020127477</v>
      </c>
      <c r="N276" s="207" t="str">
        <f>IF(ISTEXT(VLOOKUP(LEFT(E276,3),'Material editor'!$D$11:$AE$110,'Material editor'!$AE$8,0)),VLOOKUP(LEFT(E276,3),'Material editor'!$D$11:$AE$110,'Material editor'!$AE$8,0),"")</f>
        <v/>
      </c>
      <c r="O276" s="201"/>
      <c r="P276" s="201"/>
      <c r="Q276" s="201"/>
      <c r="R276" s="228"/>
      <c r="S276" s="228"/>
      <c r="T276" s="228"/>
      <c r="U276" s="214"/>
      <c r="V276" s="201"/>
      <c r="W276" s="201"/>
      <c r="X276" s="201"/>
      <c r="Y276" s="201"/>
      <c r="Z276" s="201"/>
      <c r="AA276" s="201"/>
      <c r="AB276" s="201"/>
      <c r="AC276" s="201"/>
      <c r="AD276" s="201"/>
      <c r="AE276" s="201"/>
      <c r="AF276" s="201"/>
      <c r="AG276" s="201"/>
      <c r="AH276" s="201"/>
      <c r="AI276" s="201"/>
      <c r="AJ276" s="201"/>
    </row>
    <row r="277" spans="1:36" hidden="1" outlineLevel="2" x14ac:dyDescent="0.25">
      <c r="A277" s="201"/>
      <c r="B277" s="201"/>
      <c r="C277" s="227"/>
      <c r="D277" s="232" t="s">
        <v>682</v>
      </c>
      <c r="E277" s="204" t="s">
        <v>683</v>
      </c>
      <c r="F277" s="205">
        <f>IF(ISNUMBER(VLOOKUP(LEFT(E277,3),'Material editor'!$D$11:$H$110,'Material editor'!$F$8,0)),VLOOKUP(LEFT(E277,3),'Material editor'!$D$11:$H$110,'Material editor'!$F$8,0),"")</f>
        <v>8577.8982058033398</v>
      </c>
      <c r="G277" s="205">
        <f>IF(ISNUMBER(VLOOKUP(LEFT(E277,3),'Material editor'!$D$11:$H$110,'Material editor'!$G$8,0)),VLOOKUP(LEFT(E277,3),'Material editor'!$D$11:$H$110,'Material editor'!$G$8,0),"")</f>
        <v>1740.6610483823918</v>
      </c>
      <c r="H277" s="205">
        <f>IF(ISNUMBER(VLOOKUP(LEFT(E277,3),'Material editor'!$D$11:$H$110,'Material editor'!$H$8,0)),VLOOKUP(LEFT(E277,3),'Material editor'!$D$11:$H$110,'Material editor'!$H$8,0),"")</f>
        <v>20</v>
      </c>
      <c r="I277" s="94">
        <f>32+44+33</f>
        <v>109</v>
      </c>
      <c r="J277" s="206"/>
      <c r="K277" s="206"/>
      <c r="L277" s="207">
        <f>F277*I277/(1000*1000)*Balance!$H$13/H277</f>
        <v>0.93499090443256405</v>
      </c>
      <c r="M277" s="207">
        <f>G277*I277/(1000*1000)*Balance!$H$13/H277</f>
        <v>0.1897320542736807</v>
      </c>
      <c r="N277" s="207" t="str">
        <f>IF(ISTEXT(VLOOKUP(LEFT(E277,3),'Material editor'!$D$11:$AE$110,'Material editor'!$AE$8,0)),VLOOKUP(LEFT(E277,3),'Material editor'!$D$11:$AE$110,'Material editor'!$AE$8,0),"")</f>
        <v/>
      </c>
      <c r="O277" s="201"/>
      <c r="P277" s="201"/>
      <c r="Q277" s="201"/>
      <c r="R277" s="228"/>
      <c r="S277" s="228"/>
      <c r="T277" s="228"/>
      <c r="U277" s="214"/>
      <c r="V277" s="201"/>
      <c r="W277" s="201"/>
      <c r="X277" s="201"/>
      <c r="Y277" s="201"/>
      <c r="Z277" s="201"/>
      <c r="AA277" s="201"/>
      <c r="AB277" s="201"/>
      <c r="AC277" s="201"/>
      <c r="AD277" s="201"/>
      <c r="AE277" s="201"/>
      <c r="AF277" s="201"/>
      <c r="AG277" s="201"/>
      <c r="AH277" s="201"/>
      <c r="AI277" s="201"/>
      <c r="AJ277" s="201"/>
    </row>
    <row r="278" spans="1:36" hidden="1" outlineLevel="2" x14ac:dyDescent="0.25">
      <c r="A278" s="201"/>
      <c r="B278" s="201"/>
      <c r="C278" s="227"/>
      <c r="D278" s="232" t="s">
        <v>758</v>
      </c>
      <c r="E278" s="204" t="s">
        <v>1047</v>
      </c>
      <c r="F278" s="205">
        <f>IF(ISNUMBER(VLOOKUP(LEFT(E278,3),'Material editor'!$D$11:$H$110,'Material editor'!$F$8,0)),VLOOKUP(LEFT(E278,3),'Material editor'!$D$11:$H$110,'Material editor'!$F$8,0),"")</f>
        <v>116264.03039558257</v>
      </c>
      <c r="G278" s="205">
        <f>IF(ISNUMBER(VLOOKUP(LEFT(E278,3),'Material editor'!$D$11:$H$110,'Material editor'!$G$8,0)),VLOOKUP(LEFT(E278,3),'Material editor'!$D$11:$H$110,'Material editor'!$G$8,0),"")</f>
        <v>23190.300000000003</v>
      </c>
      <c r="H278" s="205">
        <f>IF(ISNUMBER(VLOOKUP(LEFT(E278,3),'Material editor'!$D$11:$H$110,'Material editor'!$H$8,0)),VLOOKUP(LEFT(E278,3),'Material editor'!$D$11:$H$110,'Material editor'!$H$8,0),"")</f>
        <v>40</v>
      </c>
      <c r="I278" s="94">
        <v>100</v>
      </c>
      <c r="J278" s="206"/>
      <c r="K278" s="206"/>
      <c r="L278" s="207">
        <f>F278*I278/(1000*1000)*Balance!$H$13/H278</f>
        <v>5.8132015197791276</v>
      </c>
      <c r="M278" s="207">
        <f>G278*I278/(1000*1000)*Balance!$H$13/H278</f>
        <v>1.1595150000000003</v>
      </c>
      <c r="N278" s="207" t="str">
        <f>IF(ISTEXT(VLOOKUP(LEFT(E278,3),'Material editor'!$D$11:$AE$110,'Material editor'!$AE$8,0)),VLOOKUP(LEFT(E278,3),'Material editor'!$D$11:$AE$110,'Material editor'!$AE$8,0),"")</f>
        <v/>
      </c>
      <c r="O278" s="201"/>
      <c r="P278" s="201"/>
      <c r="Q278" s="201"/>
      <c r="R278" s="228"/>
      <c r="S278" s="228"/>
      <c r="T278" s="228"/>
      <c r="U278" s="214"/>
      <c r="V278" s="201"/>
      <c r="W278" s="201"/>
      <c r="X278" s="201"/>
      <c r="Y278" s="201"/>
      <c r="Z278" s="201"/>
      <c r="AA278" s="201"/>
      <c r="AB278" s="201"/>
      <c r="AC278" s="201"/>
      <c r="AD278" s="201"/>
      <c r="AE278" s="201"/>
      <c r="AF278" s="201"/>
      <c r="AG278" s="201"/>
      <c r="AH278" s="201"/>
      <c r="AI278" s="201"/>
      <c r="AJ278" s="201"/>
    </row>
    <row r="279" spans="1:36" hidden="1" outlineLevel="2" x14ac:dyDescent="0.25">
      <c r="A279" s="201"/>
      <c r="B279" s="201"/>
      <c r="C279" s="227"/>
      <c r="D279" s="232" t="s">
        <v>678</v>
      </c>
      <c r="E279" s="204" t="s">
        <v>1045</v>
      </c>
      <c r="F279" s="205">
        <f>IF(ISNUMBER(VLOOKUP(LEFT(E279,3),'Material editor'!$D$11:$H$110,'Material editor'!$F$8,0)),VLOOKUP(LEFT(E279,3),'Material editor'!$D$11:$H$110,'Material editor'!$F$8,0),"")</f>
        <v>31554.72432133375</v>
      </c>
      <c r="G279" s="205">
        <f>IF(ISNUMBER(VLOOKUP(LEFT(E279,3),'Material editor'!$D$11:$H$110,'Material editor'!$G$8,0)),VLOOKUP(LEFT(E279,3),'Material editor'!$D$11:$H$110,'Material editor'!$G$8,0),"")</f>
        <v>7570.5013256411439</v>
      </c>
      <c r="H279" s="205">
        <f>IF(ISNUMBER(VLOOKUP(LEFT(E279,3),'Material editor'!$D$11:$H$110,'Material editor'!$H$8,0)),VLOOKUP(LEFT(E279,3),'Material editor'!$D$11:$H$110,'Material editor'!$H$8,0),"")</f>
        <v>40</v>
      </c>
      <c r="I279" s="94">
        <v>50</v>
      </c>
      <c r="J279" s="206"/>
      <c r="K279" s="206"/>
      <c r="L279" s="207">
        <f>F279*I279/(1000*1000)*Balance!$H$13/H279</f>
        <v>0.78886810803334373</v>
      </c>
      <c r="M279" s="207">
        <f>G279*I279/(1000*1000)*Balance!$H$13/H279</f>
        <v>0.18926253314102859</v>
      </c>
      <c r="N279" s="207" t="str">
        <f>IF(ISTEXT(VLOOKUP(LEFT(E279,3),'Material editor'!$D$11:$AE$110,'Material editor'!$AE$8,0)),VLOOKUP(LEFT(E279,3),'Material editor'!$D$11:$AE$110,'Material editor'!$AE$8,0),"")</f>
        <v/>
      </c>
      <c r="O279" s="201"/>
      <c r="P279" s="201"/>
      <c r="Q279" s="201"/>
      <c r="R279" s="228"/>
      <c r="S279" s="228"/>
      <c r="T279" s="228"/>
      <c r="U279" s="214"/>
      <c r="V279" s="201"/>
      <c r="W279" s="201"/>
      <c r="X279" s="201"/>
      <c r="Y279" s="201"/>
      <c r="Z279" s="201"/>
      <c r="AA279" s="201"/>
      <c r="AB279" s="201"/>
      <c r="AC279" s="201"/>
      <c r="AD279" s="201"/>
      <c r="AE279" s="201"/>
      <c r="AF279" s="201"/>
      <c r="AG279" s="201"/>
      <c r="AH279" s="201"/>
      <c r="AI279" s="201"/>
      <c r="AJ279" s="201"/>
    </row>
    <row r="280" spans="1:36" hidden="1" outlineLevel="2" x14ac:dyDescent="0.25">
      <c r="A280" s="201"/>
      <c r="B280" s="201"/>
      <c r="C280" s="227"/>
      <c r="D280" s="232" t="s">
        <v>727</v>
      </c>
      <c r="E280" s="204" t="s">
        <v>1041</v>
      </c>
      <c r="F280" s="205">
        <f>IF(ISNUMBER(VLOOKUP(LEFT(E280,3),'Material editor'!$D$11:$H$110,'Material editor'!$F$8,0)),VLOOKUP(LEFT(E280,3),'Material editor'!$D$11:$H$110,'Material editor'!$F$8,0),"")</f>
        <v>12876.183614626107</v>
      </c>
      <c r="G280" s="205">
        <f>IF(ISNUMBER(VLOOKUP(LEFT(E280,3),'Material editor'!$D$11:$H$110,'Material editor'!$G$8,0)),VLOOKUP(LEFT(E280,3),'Material editor'!$D$11:$H$110,'Material editor'!$G$8,0),"")</f>
        <v>2121.6494532607658</v>
      </c>
      <c r="H280" s="205">
        <f>IF(ISNUMBER(VLOOKUP(LEFT(E280,3),'Material editor'!$D$11:$H$110,'Material editor'!$H$8,0)),VLOOKUP(LEFT(E280,3),'Material editor'!$D$11:$H$110,'Material editor'!$H$8,0),"")</f>
        <v>40</v>
      </c>
      <c r="I280" s="206"/>
      <c r="J280" s="94">
        <f>301+395</f>
        <v>696</v>
      </c>
      <c r="K280" s="79">
        <v>0.15</v>
      </c>
      <c r="L280" s="207">
        <f>(F280*J280/1000*K280/1000)*Balance!$H$13/H280</f>
        <v>0.6721367846834827</v>
      </c>
      <c r="M280" s="207">
        <f>G280*J280/(1000*1000)*Balance!$H$13/H280</f>
        <v>0.7383340097347465</v>
      </c>
      <c r="N280" s="207" t="str">
        <f>IF(ISTEXT(VLOOKUP(LEFT(E280,3),'Material editor'!$D$11:$AE$110,'Material editor'!$AE$8,0)),VLOOKUP(LEFT(E280,3),'Material editor'!$D$11:$AE$110,'Material editor'!$AE$8,0),"")</f>
        <v/>
      </c>
      <c r="O280" s="201"/>
      <c r="P280" s="201"/>
      <c r="Q280" s="201"/>
      <c r="R280" s="228"/>
      <c r="S280" s="228"/>
      <c r="T280" s="228"/>
      <c r="U280" s="214"/>
      <c r="V280" s="201"/>
      <c r="W280" s="201"/>
      <c r="X280" s="201"/>
      <c r="Y280" s="201"/>
      <c r="Z280" s="201"/>
      <c r="AA280" s="201"/>
      <c r="AB280" s="201"/>
      <c r="AC280" s="201"/>
      <c r="AD280" s="201"/>
      <c r="AE280" s="201"/>
      <c r="AF280" s="201"/>
      <c r="AG280" s="201"/>
      <c r="AH280" s="201"/>
      <c r="AI280" s="201"/>
      <c r="AJ280" s="201"/>
    </row>
    <row r="281" spans="1:36" hidden="1" outlineLevel="2" x14ac:dyDescent="0.25">
      <c r="A281" s="201"/>
      <c r="B281" s="201"/>
      <c r="C281" s="227"/>
      <c r="D281" s="232" t="s">
        <v>728</v>
      </c>
      <c r="E281" s="204" t="s">
        <v>1042</v>
      </c>
      <c r="F281" s="205">
        <f>IF(ISNUMBER(VLOOKUP(LEFT(E281,3),'Material editor'!$D$11:$H$110,'Material editor'!$F$8,0)),VLOOKUP(LEFT(E281,3),'Material editor'!$D$11:$H$110,'Material editor'!$F$8,0),"")</f>
        <v>13437.299176949344</v>
      </c>
      <c r="G281" s="205">
        <f>IF(ISNUMBER(VLOOKUP(LEFT(E281,3),'Material editor'!$D$11:$H$110,'Material editor'!$G$8,0)),VLOOKUP(LEFT(E281,3),'Material editor'!$D$11:$H$110,'Material editor'!$G$8,0),"")</f>
        <v>2087.9914411917075</v>
      </c>
      <c r="H281" s="205">
        <f>IF(ISNUMBER(VLOOKUP(LEFT(E281,3),'Material editor'!$D$11:$H$110,'Material editor'!$H$8,0)),VLOOKUP(LEFT(E281,3),'Material editor'!$D$11:$H$110,'Material editor'!$H$8,0),"")</f>
        <v>40</v>
      </c>
      <c r="I281" s="206"/>
      <c r="J281" s="94">
        <f>J280</f>
        <v>696</v>
      </c>
      <c r="K281" s="79">
        <v>0.15</v>
      </c>
      <c r="L281" s="207">
        <f>(F281*J281/1000*K281/1000)*Balance!$H$13/H281</f>
        <v>0.7014270170367557</v>
      </c>
      <c r="M281" s="207">
        <f>G281*J281/(1000*1000)*Balance!$H$13/H281</f>
        <v>0.72662102153471431</v>
      </c>
      <c r="N281" s="207"/>
      <c r="O281" s="201"/>
      <c r="P281" s="201"/>
      <c r="Q281" s="201"/>
      <c r="R281" s="228"/>
      <c r="S281" s="228"/>
      <c r="T281" s="228"/>
      <c r="U281" s="214"/>
      <c r="V281" s="201"/>
      <c r="W281" s="201"/>
      <c r="X281" s="201"/>
      <c r="Y281" s="201"/>
      <c r="Z281" s="201"/>
      <c r="AA281" s="201"/>
      <c r="AB281" s="201"/>
      <c r="AC281" s="201"/>
      <c r="AD281" s="201"/>
      <c r="AE281" s="201"/>
      <c r="AF281" s="201"/>
      <c r="AG281" s="201"/>
      <c r="AH281" s="201"/>
      <c r="AI281" s="201"/>
      <c r="AJ281" s="201"/>
    </row>
    <row r="282" spans="1:36" hidden="1" outlineLevel="2" x14ac:dyDescent="0.25">
      <c r="A282" s="201"/>
      <c r="B282" s="201"/>
      <c r="C282" s="227"/>
      <c r="D282" s="232" t="s">
        <v>677</v>
      </c>
      <c r="E282" s="204" t="s">
        <v>1044</v>
      </c>
      <c r="F282" s="205">
        <f>IF(ISNUMBER(VLOOKUP(LEFT(E282,3),'Material editor'!$D$11:$H$110,'Material editor'!$F$8,0)),VLOOKUP(LEFT(E282,3),'Material editor'!$D$11:$H$110,'Material editor'!$F$8,0),"")</f>
        <v>56758.989170428904</v>
      </c>
      <c r="G282" s="205">
        <f>IF(ISNUMBER(VLOOKUP(LEFT(E282,3),'Material editor'!$D$11:$H$110,'Material editor'!$G$8,0)),VLOOKUP(LEFT(E282,3),'Material editor'!$D$11:$H$110,'Material editor'!$G$8,0),"")</f>
        <v>10071.17420653871</v>
      </c>
      <c r="H282" s="205">
        <f>IF(ISNUMBER(VLOOKUP(LEFT(E282,3),'Material editor'!$D$11:$H$110,'Material editor'!$H$8,0)),VLOOKUP(LEFT(E282,3),'Material editor'!$D$11:$H$110,'Material editor'!$H$8,0),"")</f>
        <v>40</v>
      </c>
      <c r="I282" s="94">
        <v>60</v>
      </c>
      <c r="J282" s="206"/>
      <c r="K282" s="206"/>
      <c r="L282" s="207">
        <f>F282*I282/(1000*1000)*Balance!$H$13/H282</f>
        <v>1.7027696751128669</v>
      </c>
      <c r="M282" s="207">
        <f>G282*I282/(1000*1000)*Balance!$H$13/H282</f>
        <v>0.30213522619616129</v>
      </c>
      <c r="N282" s="207"/>
      <c r="O282" s="201"/>
      <c r="P282" s="201"/>
      <c r="Q282" s="201"/>
      <c r="R282" s="228"/>
      <c r="S282" s="228"/>
      <c r="T282" s="228"/>
      <c r="U282" s="214"/>
      <c r="V282" s="201"/>
      <c r="W282" s="201"/>
      <c r="X282" s="201"/>
      <c r="Y282" s="201"/>
      <c r="Z282" s="201"/>
      <c r="AA282" s="201"/>
      <c r="AB282" s="201"/>
      <c r="AC282" s="201"/>
      <c r="AD282" s="201"/>
      <c r="AE282" s="201"/>
      <c r="AF282" s="201"/>
      <c r="AG282" s="201"/>
      <c r="AH282" s="201"/>
      <c r="AI282" s="201"/>
      <c r="AJ282" s="201"/>
    </row>
    <row r="283" spans="1:36" hidden="1" outlineLevel="2" x14ac:dyDescent="0.25">
      <c r="A283" s="201"/>
      <c r="B283" s="201"/>
      <c r="C283" s="227"/>
      <c r="D283" s="232" t="s">
        <v>977</v>
      </c>
      <c r="E283" s="204" t="s">
        <v>1046</v>
      </c>
      <c r="F283" s="205">
        <f>IF(ISNUMBER(VLOOKUP(LEFT(E283,3),'Material editor'!$D$11:$H$110,'Material editor'!$F$8,0)),VLOOKUP(LEFT(E283,3),'Material editor'!$D$11:$H$110,'Material editor'!$F$8,0),"")</f>
        <v>647.25297961925958</v>
      </c>
      <c r="G283" s="205">
        <f>IF(ISNUMBER(VLOOKUP(LEFT(E283,3),'Material editor'!$D$11:$H$110,'Material editor'!$G$8,0)),VLOOKUP(LEFT(E283,3),'Material editor'!$D$11:$H$110,'Material editor'!$G$8,0),"")</f>
        <v>153.00099181306416</v>
      </c>
      <c r="H283" s="205">
        <f>IF(ISNUMBER(VLOOKUP(LEFT(E283,3),'Material editor'!$D$11:$H$110,'Material editor'!$H$8,0)),VLOOKUP(LEFT(E283,3),'Material editor'!$D$11:$H$110,'Material editor'!$H$8,0),"")</f>
        <v>40</v>
      </c>
      <c r="I283" s="94">
        <v>345</v>
      </c>
      <c r="J283" s="206"/>
      <c r="K283" s="206"/>
      <c r="L283" s="207">
        <f>F283*I283/(1000*1000)*Balance!$H$13/H283</f>
        <v>0.11165113898432226</v>
      </c>
      <c r="M283" s="207">
        <f>G283*I283/(1000*1000)*Balance!$H$13/H283</f>
        <v>2.6392671087753568E-2</v>
      </c>
      <c r="N283" s="207"/>
      <c r="O283" s="201"/>
      <c r="P283" s="201"/>
      <c r="Q283" s="201"/>
      <c r="R283" s="228"/>
      <c r="S283" s="228"/>
      <c r="T283" s="228"/>
      <c r="U283" s="214"/>
      <c r="V283" s="201"/>
      <c r="W283" s="201"/>
      <c r="X283" s="201"/>
      <c r="Y283" s="201"/>
      <c r="Z283" s="201"/>
      <c r="AA283" s="201"/>
      <c r="AB283" s="201"/>
      <c r="AC283" s="201"/>
      <c r="AD283" s="201"/>
      <c r="AE283" s="201"/>
      <c r="AF283" s="201"/>
      <c r="AG283" s="201"/>
      <c r="AH283" s="201"/>
      <c r="AI283" s="201"/>
      <c r="AJ283" s="201"/>
    </row>
    <row r="284" spans="1:36" hidden="1" outlineLevel="2" x14ac:dyDescent="0.25">
      <c r="A284" s="201"/>
      <c r="B284" s="201"/>
      <c r="C284" s="227"/>
      <c r="D284" s="232" t="s">
        <v>978</v>
      </c>
      <c r="E284" s="204" t="s">
        <v>1028</v>
      </c>
      <c r="F284" s="205">
        <f>IF(ISNUMBER(VLOOKUP(LEFT(E284,3),'Material editor'!$D$11:$H$110,'Material editor'!$F$8,0)),VLOOKUP(LEFT(E284,3),'Material editor'!$D$11:$H$110,'Material editor'!$F$8,0),"")</f>
        <v>700.38883783406686</v>
      </c>
      <c r="G284" s="205">
        <f>IF(ISNUMBER(VLOOKUP(LEFT(E284,3),'Material editor'!$D$11:$H$110,'Material editor'!$G$8,0)),VLOOKUP(LEFT(E284,3),'Material editor'!$D$11:$H$110,'Material editor'!$G$8,0),"")</f>
        <v>-153.896768984163</v>
      </c>
      <c r="H284" s="205">
        <f>IF(ISNUMBER(VLOOKUP(LEFT(E284,3),'Material editor'!$D$11:$H$110,'Material editor'!$H$8,0)),VLOOKUP(LEFT(E284,3),'Material editor'!$D$11:$H$110,'Material editor'!$H$8,0),"")</f>
        <v>40</v>
      </c>
      <c r="I284" s="94">
        <v>75</v>
      </c>
      <c r="J284" s="206"/>
      <c r="K284" s="206"/>
      <c r="L284" s="207">
        <f>F284*I284/(1000*1000)*Balance!$H$13/H284</f>
        <v>2.6264581418777511E-2</v>
      </c>
      <c r="M284" s="207">
        <f>G284*I284/(1000*1000)*Balance!$H$13/H284</f>
        <v>-5.7711288369061134E-3</v>
      </c>
      <c r="N284" s="207"/>
      <c r="O284" s="201"/>
      <c r="P284" s="201"/>
      <c r="Q284" s="201"/>
      <c r="R284" s="228"/>
      <c r="S284" s="228"/>
      <c r="T284" s="228"/>
      <c r="U284" s="214"/>
      <c r="V284" s="201"/>
      <c r="W284" s="201"/>
      <c r="X284" s="201"/>
      <c r="Y284" s="201"/>
      <c r="Z284" s="201"/>
      <c r="AA284" s="201"/>
      <c r="AB284" s="201"/>
      <c r="AC284" s="201"/>
      <c r="AD284" s="201"/>
      <c r="AE284" s="201"/>
      <c r="AF284" s="201"/>
      <c r="AG284" s="201"/>
      <c r="AH284" s="201"/>
      <c r="AI284" s="201"/>
      <c r="AJ284" s="201"/>
    </row>
    <row r="285" spans="1:36" hidden="1" outlineLevel="2" x14ac:dyDescent="0.25">
      <c r="A285" s="201"/>
      <c r="B285" s="201"/>
      <c r="C285" s="227"/>
      <c r="D285" s="208"/>
      <c r="E285" s="204"/>
      <c r="F285" s="205"/>
      <c r="G285" s="205"/>
      <c r="H285" s="205"/>
      <c r="I285" s="206"/>
      <c r="J285" s="206"/>
      <c r="K285" s="206"/>
      <c r="L285" s="207"/>
      <c r="M285" s="207"/>
      <c r="N285" s="207"/>
      <c r="O285" s="201"/>
      <c r="P285" s="201"/>
      <c r="Q285" s="201"/>
      <c r="R285" s="228"/>
      <c r="S285" s="228"/>
      <c r="T285" s="228"/>
      <c r="U285" s="214"/>
      <c r="V285" s="201"/>
      <c r="W285" s="201"/>
      <c r="X285" s="201"/>
      <c r="Y285" s="201"/>
      <c r="Z285" s="201"/>
      <c r="AA285" s="201"/>
      <c r="AB285" s="201"/>
      <c r="AC285" s="201"/>
      <c r="AD285" s="201"/>
      <c r="AE285" s="201"/>
      <c r="AF285" s="201"/>
      <c r="AG285" s="201"/>
      <c r="AH285" s="201"/>
      <c r="AI285" s="201"/>
      <c r="AJ285" s="201"/>
    </row>
    <row r="286" spans="1:36" hidden="1" outlineLevel="2" x14ac:dyDescent="0.25">
      <c r="A286" s="201"/>
      <c r="B286" s="201"/>
      <c r="C286" s="227"/>
      <c r="D286" s="233"/>
      <c r="E286" s="234"/>
      <c r="F286" s="235" t="s">
        <v>732</v>
      </c>
      <c r="G286" s="235" t="s">
        <v>733</v>
      </c>
      <c r="H286" s="235" t="s">
        <v>734</v>
      </c>
      <c r="I286" s="235"/>
      <c r="J286" s="235" t="s">
        <v>778</v>
      </c>
      <c r="K286" s="235"/>
      <c r="L286" s="203" t="s">
        <v>730</v>
      </c>
      <c r="M286" s="203" t="s">
        <v>731</v>
      </c>
      <c r="N286" s="236"/>
      <c r="O286" s="201"/>
      <c r="P286" s="201"/>
      <c r="Q286" s="201"/>
      <c r="R286" s="228"/>
      <c r="S286" s="228"/>
      <c r="T286" s="228"/>
      <c r="U286" s="214"/>
      <c r="V286" s="201"/>
      <c r="W286" s="201"/>
      <c r="X286" s="201"/>
      <c r="Y286" s="201"/>
      <c r="Z286" s="201"/>
      <c r="AA286" s="201"/>
      <c r="AB286" s="201"/>
      <c r="AC286" s="201"/>
      <c r="AD286" s="201"/>
      <c r="AE286" s="201"/>
      <c r="AF286" s="201"/>
      <c r="AG286" s="201"/>
      <c r="AH286" s="201"/>
      <c r="AI286" s="201"/>
      <c r="AJ286" s="201"/>
    </row>
    <row r="287" spans="1:36" hidden="1" outlineLevel="2" x14ac:dyDescent="0.25">
      <c r="A287" s="201"/>
      <c r="B287" s="201"/>
      <c r="C287" s="227"/>
      <c r="D287" s="213" t="s">
        <v>975</v>
      </c>
      <c r="E287" s="133" t="s">
        <v>976</v>
      </c>
      <c r="F287" s="79">
        <v>0.749</v>
      </c>
      <c r="G287" s="93">
        <v>2.5999999999999999E-2</v>
      </c>
      <c r="H287" s="93">
        <v>6.2E-2</v>
      </c>
      <c r="I287" s="201"/>
      <c r="J287" s="79">
        <v>1.5</v>
      </c>
      <c r="K287" s="228"/>
      <c r="L287" s="237">
        <f>IF(ISNUMBER(J287),J287*SUM(L276:L285),SUM(L276:L285))</f>
        <v>23.257993376424093</v>
      </c>
      <c r="M287" s="237">
        <f>IF(ISNUMBER(J287),J287*SUM(M276:M285),SUM(M276:M285))</f>
        <v>1.8261035776776473</v>
      </c>
      <c r="N287" s="133"/>
      <c r="O287" s="201"/>
      <c r="P287" s="201"/>
      <c r="Q287" s="201"/>
      <c r="R287" s="228"/>
      <c r="S287" s="228"/>
      <c r="T287" s="228"/>
      <c r="U287" s="214"/>
      <c r="V287" s="201"/>
      <c r="W287" s="201"/>
      <c r="X287" s="201"/>
      <c r="Y287" s="201"/>
      <c r="Z287" s="201"/>
      <c r="AA287" s="201"/>
      <c r="AB287" s="201"/>
      <c r="AC287" s="201"/>
      <c r="AD287" s="201"/>
      <c r="AE287" s="201"/>
      <c r="AF287" s="201"/>
      <c r="AG287" s="201"/>
      <c r="AH287" s="201"/>
      <c r="AI287" s="201"/>
      <c r="AJ287" s="201"/>
    </row>
    <row r="288" spans="1:36" hidden="1" outlineLevel="1" x14ac:dyDescent="0.25">
      <c r="B288" s="201"/>
      <c r="C288" s="18"/>
      <c r="D288" s="20"/>
      <c r="E288" s="20"/>
      <c r="F288" s="20"/>
      <c r="G288" s="20"/>
      <c r="H288" s="20"/>
      <c r="I288" s="20"/>
      <c r="J288" s="20"/>
      <c r="K288" s="20"/>
      <c r="L288" s="20"/>
      <c r="M288" s="20"/>
      <c r="N288" s="20"/>
      <c r="O288" s="20"/>
      <c r="P288" s="20"/>
      <c r="Q288" s="20"/>
      <c r="R288" s="20"/>
      <c r="S288" s="20"/>
      <c r="T288" s="20"/>
      <c r="U288" s="19"/>
    </row>
    <row r="289" spans="2:21" x14ac:dyDescent="0.25">
      <c r="B289" s="201"/>
      <c r="C289" s="21"/>
      <c r="D289" s="22"/>
      <c r="E289" s="22"/>
      <c r="F289" s="22"/>
      <c r="G289" s="22"/>
      <c r="H289" s="22"/>
      <c r="I289" s="22"/>
      <c r="J289" s="22"/>
      <c r="K289" s="22"/>
      <c r="L289" s="22"/>
      <c r="M289" s="22"/>
      <c r="N289" s="22"/>
      <c r="O289" s="22"/>
      <c r="P289" s="22"/>
      <c r="Q289" s="22"/>
      <c r="R289" s="22"/>
      <c r="S289" s="22"/>
      <c r="T289" s="22"/>
      <c r="U289" s="23"/>
    </row>
    <row r="290" spans="2:21" x14ac:dyDescent="0.25">
      <c r="B290" s="201"/>
    </row>
    <row r="291" spans="2:21" x14ac:dyDescent="0.25">
      <c r="B291" s="201"/>
    </row>
    <row r="292" spans="2:21" x14ac:dyDescent="0.25">
      <c r="B292" s="201"/>
    </row>
    <row r="305" spans="5:10" x14ac:dyDescent="0.25">
      <c r="E305" s="267"/>
      <c r="J305" s="267"/>
    </row>
    <row r="306" spans="5:10" x14ac:dyDescent="0.25">
      <c r="E306" s="267"/>
      <c r="J306" s="267"/>
    </row>
    <row r="307" spans="5:10" x14ac:dyDescent="0.25">
      <c r="E307" s="267"/>
      <c r="J307" s="267"/>
    </row>
    <row r="308" spans="5:10" x14ac:dyDescent="0.25">
      <c r="E308" s="267"/>
      <c r="J308" s="267"/>
    </row>
    <row r="309" spans="5:10" x14ac:dyDescent="0.25">
      <c r="E309" s="267"/>
      <c r="J309" s="267"/>
    </row>
    <row r="310" spans="5:10" x14ac:dyDescent="0.25">
      <c r="E310" s="267"/>
      <c r="J310" s="267"/>
    </row>
    <row r="311" spans="5:10" x14ac:dyDescent="0.25">
      <c r="E311" s="267"/>
      <c r="J311" s="267"/>
    </row>
    <row r="312" spans="5:10" x14ac:dyDescent="0.25">
      <c r="E312" s="267"/>
      <c r="J312" s="267"/>
    </row>
    <row r="313" spans="5:10" x14ac:dyDescent="0.25">
      <c r="E313" s="267"/>
      <c r="J313" s="267"/>
    </row>
    <row r="314" spans="5:10" x14ac:dyDescent="0.25">
      <c r="E314" s="267"/>
      <c r="J314" s="267"/>
    </row>
    <row r="315" spans="5:10" x14ac:dyDescent="0.25">
      <c r="E315" s="267"/>
      <c r="J315" s="267"/>
    </row>
    <row r="316" spans="5:10" x14ac:dyDescent="0.25">
      <c r="E316" s="267"/>
      <c r="J316" s="267"/>
    </row>
    <row r="317" spans="5:10" x14ac:dyDescent="0.25">
      <c r="E317" s="267"/>
      <c r="J317" s="267"/>
    </row>
    <row r="318" spans="5:10" x14ac:dyDescent="0.25">
      <c r="E318" s="267"/>
      <c r="J318" s="267"/>
    </row>
    <row r="319" spans="5:10" x14ac:dyDescent="0.25">
      <c r="E319" s="267"/>
      <c r="J319" s="267"/>
    </row>
    <row r="320" spans="5:10" x14ac:dyDescent="0.25">
      <c r="J320" s="267"/>
    </row>
  </sheetData>
  <mergeCells count="10">
    <mergeCell ref="P13:Q13"/>
    <mergeCell ref="R13:S13"/>
    <mergeCell ref="O45:P45"/>
    <mergeCell ref="Q45:R45"/>
    <mergeCell ref="S45:T45"/>
    <mergeCell ref="F47:H47"/>
    <mergeCell ref="I47:K47"/>
    <mergeCell ref="L47:N47"/>
    <mergeCell ref="G4:K4"/>
    <mergeCell ref="M13:N13"/>
  </mergeCells>
  <dataValidations count="2">
    <dataValidation type="list" allowBlank="1" showInputMessage="1" showErrorMessage="1" sqref="O17:O26">
      <formula1>$G$5:$K$5</formula1>
    </dataValidation>
    <dataValidation type="list" allowBlank="1" showInputMessage="1" showErrorMessage="1" sqref="E17:E26">
      <formula1>$D$31:$D$40</formula1>
    </dataValidation>
  </dataValidations>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outlinePr summaryBelow="0" summaryRight="0"/>
  </sheetPr>
  <dimension ref="A1:AE303"/>
  <sheetViews>
    <sheetView showGridLines="0" workbookViewId="0">
      <selection activeCell="C34" sqref="C34"/>
    </sheetView>
  </sheetViews>
  <sheetFormatPr defaultColWidth="11.42578125" defaultRowHeight="12.75" outlineLevelRow="1" x14ac:dyDescent="0.2"/>
  <cols>
    <col min="1" max="1" width="5.5703125" style="129" customWidth="1"/>
    <col min="2" max="2" width="6" style="129" hidden="1" customWidth="1"/>
    <col min="3" max="3" width="86.140625" style="129" customWidth="1"/>
    <col min="4" max="4" width="30.5703125" style="129" hidden="1" customWidth="1"/>
    <col min="5" max="5" width="30.5703125" style="129" customWidth="1"/>
    <col min="6" max="6" width="16.7109375" style="129" customWidth="1"/>
    <col min="7" max="8" width="13.140625" style="129" customWidth="1"/>
    <col min="9" max="9" width="20.140625" style="129" customWidth="1"/>
    <col min="10" max="10" width="63.28515625" style="129" customWidth="1"/>
    <col min="11" max="20" width="11.42578125" style="129"/>
    <col min="21" max="21" width="13" style="129" customWidth="1"/>
    <col min="22" max="22" width="14.42578125" style="129" customWidth="1"/>
    <col min="23" max="24" width="13" style="129" customWidth="1"/>
    <col min="25" max="16384" width="11.42578125" style="129"/>
  </cols>
  <sheetData>
    <row r="1" spans="1:31" ht="13.5" thickBot="1" x14ac:dyDescent="0.25"/>
    <row r="2" spans="1:31" ht="51" customHeight="1" thickTop="1" thickBot="1" x14ac:dyDescent="0.25">
      <c r="C2" s="355" t="s">
        <v>968</v>
      </c>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row>
    <row r="3" spans="1:31" ht="13.5" thickTop="1" x14ac:dyDescent="0.2">
      <c r="J3" s="356" t="str">
        <f>Balance!$S$3</f>
        <v>outPHit Manufacturing-Energy-Tool v. 1.0</v>
      </c>
    </row>
    <row r="4" spans="1:31" hidden="1" x14ac:dyDescent="0.2">
      <c r="A4" s="343"/>
      <c r="B4" s="343"/>
      <c r="C4" s="343"/>
      <c r="D4" s="343"/>
      <c r="E4" s="343"/>
      <c r="F4" s="343" t="s">
        <v>224</v>
      </c>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row>
    <row r="5" spans="1:31" hidden="1" x14ac:dyDescent="0.2">
      <c r="A5" s="343"/>
      <c r="B5" s="344"/>
      <c r="C5" s="343"/>
      <c r="D5" s="343"/>
      <c r="E5" s="343"/>
      <c r="F5" s="343" t="s">
        <v>681</v>
      </c>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row>
    <row r="6" spans="1:31" hidden="1" x14ac:dyDescent="0.2">
      <c r="A6" s="343"/>
      <c r="B6" s="343">
        <v>10</v>
      </c>
      <c r="C6" s="343"/>
      <c r="D6" s="343"/>
      <c r="E6" s="343"/>
      <c r="F6" s="343" t="s">
        <v>183</v>
      </c>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row>
    <row r="7" spans="1:31" hidden="1" x14ac:dyDescent="0.2">
      <c r="A7" s="343"/>
      <c r="B7" s="343"/>
      <c r="C7" s="343"/>
      <c r="D7" s="343"/>
      <c r="E7" s="343"/>
      <c r="F7" s="343"/>
      <c r="G7" s="343"/>
      <c r="H7" s="343"/>
      <c r="I7" s="343"/>
      <c r="J7" s="343"/>
      <c r="K7" s="343"/>
      <c r="L7" s="343"/>
      <c r="M7" s="343"/>
      <c r="N7" s="343"/>
      <c r="O7" s="343"/>
      <c r="P7" s="343"/>
      <c r="Q7" s="343"/>
      <c r="R7" s="343"/>
      <c r="S7" s="343"/>
      <c r="T7" s="343"/>
      <c r="U7" s="343"/>
      <c r="V7" s="343"/>
      <c r="W7" s="343"/>
      <c r="X7" s="343"/>
      <c r="Y7" s="343">
        <v>3.6</v>
      </c>
      <c r="Z7" s="343"/>
      <c r="AA7" s="343"/>
      <c r="AB7" s="343"/>
      <c r="AC7" s="343"/>
      <c r="AD7" s="343"/>
      <c r="AE7" s="343"/>
    </row>
    <row r="8" spans="1:31" hidden="1" x14ac:dyDescent="0.2">
      <c r="A8" s="343"/>
      <c r="B8" s="343">
        <v>3</v>
      </c>
      <c r="C8" s="343">
        <f>COLUMN()-$B$8</f>
        <v>0</v>
      </c>
      <c r="D8" s="343">
        <f t="shared" ref="D8:H8" si="0">COLUMN()-$B$8</f>
        <v>1</v>
      </c>
      <c r="E8" s="343">
        <f t="shared" si="0"/>
        <v>2</v>
      </c>
      <c r="F8" s="343">
        <f t="shared" si="0"/>
        <v>3</v>
      </c>
      <c r="G8" s="343">
        <f t="shared" si="0"/>
        <v>4</v>
      </c>
      <c r="H8" s="343">
        <f t="shared" si="0"/>
        <v>5</v>
      </c>
      <c r="I8" s="343">
        <f>COLUMN()-$B$8</f>
        <v>6</v>
      </c>
      <c r="J8" s="343">
        <f t="shared" ref="J8:AE8" si="1">COLUMN()-$B$8</f>
        <v>7</v>
      </c>
      <c r="K8" s="343">
        <f t="shared" si="1"/>
        <v>8</v>
      </c>
      <c r="L8" s="343">
        <f t="shared" si="1"/>
        <v>9</v>
      </c>
      <c r="M8" s="343">
        <f t="shared" si="1"/>
        <v>10</v>
      </c>
      <c r="N8" s="343">
        <f t="shared" si="1"/>
        <v>11</v>
      </c>
      <c r="O8" s="343">
        <f t="shared" si="1"/>
        <v>12</v>
      </c>
      <c r="P8" s="345">
        <f t="shared" si="1"/>
        <v>13</v>
      </c>
      <c r="Q8" s="343">
        <f t="shared" si="1"/>
        <v>14</v>
      </c>
      <c r="R8" s="343">
        <f t="shared" si="1"/>
        <v>15</v>
      </c>
      <c r="S8" s="343">
        <f t="shared" si="1"/>
        <v>16</v>
      </c>
      <c r="T8" s="343">
        <f t="shared" si="1"/>
        <v>17</v>
      </c>
      <c r="U8" s="343">
        <f t="shared" si="1"/>
        <v>18</v>
      </c>
      <c r="V8" s="343">
        <f t="shared" si="1"/>
        <v>19</v>
      </c>
      <c r="W8" s="343">
        <f t="shared" si="1"/>
        <v>20</v>
      </c>
      <c r="X8" s="343">
        <f t="shared" si="1"/>
        <v>21</v>
      </c>
      <c r="Y8" s="343">
        <f t="shared" si="1"/>
        <v>22</v>
      </c>
      <c r="Z8" s="343">
        <f t="shared" si="1"/>
        <v>23</v>
      </c>
      <c r="AA8" s="343">
        <f t="shared" si="1"/>
        <v>24</v>
      </c>
      <c r="AB8" s="343">
        <f t="shared" si="1"/>
        <v>25</v>
      </c>
      <c r="AC8" s="343">
        <f t="shared" si="1"/>
        <v>26</v>
      </c>
      <c r="AD8" s="343">
        <f t="shared" si="1"/>
        <v>27</v>
      </c>
      <c r="AE8" s="343">
        <f t="shared" si="1"/>
        <v>28</v>
      </c>
    </row>
    <row r="9" spans="1:31" ht="25.5" x14ac:dyDescent="0.2">
      <c r="B9" s="343"/>
      <c r="C9" s="130" t="s">
        <v>187</v>
      </c>
      <c r="D9" s="347" t="s">
        <v>468</v>
      </c>
      <c r="E9" s="122" t="s">
        <v>142</v>
      </c>
      <c r="F9" s="122" t="str">
        <f>U9</f>
        <v>Manfacturing energy</v>
      </c>
      <c r="G9" s="197" t="str">
        <f>X9</f>
        <v>GWP</v>
      </c>
      <c r="H9" s="122" t="s">
        <v>145</v>
      </c>
      <c r="I9" s="130" t="s">
        <v>348</v>
      </c>
      <c r="J9" s="130" t="s">
        <v>82</v>
      </c>
      <c r="K9" s="147" t="s">
        <v>162</v>
      </c>
      <c r="L9" s="147" t="s">
        <v>347</v>
      </c>
      <c r="M9" s="144" t="s">
        <v>345</v>
      </c>
      <c r="N9" s="147" t="s">
        <v>345</v>
      </c>
      <c r="O9" s="147" t="s">
        <v>592</v>
      </c>
      <c r="P9" s="262" t="s">
        <v>346</v>
      </c>
      <c r="Q9" s="429" t="s">
        <v>340</v>
      </c>
      <c r="R9" s="430"/>
      <c r="S9" s="426"/>
      <c r="T9" s="426"/>
      <c r="U9" s="265" t="str">
        <f>IF(Balance!$H$12=Data!$B$4,W9,V9)</f>
        <v>Manfacturing energy</v>
      </c>
      <c r="V9" s="144" t="s">
        <v>143</v>
      </c>
      <c r="W9" s="144" t="s">
        <v>471</v>
      </c>
      <c r="X9" s="144" t="s">
        <v>149</v>
      </c>
      <c r="Y9" s="143" t="s">
        <v>157</v>
      </c>
      <c r="Z9" s="143" t="s">
        <v>158</v>
      </c>
      <c r="AA9" s="143" t="s">
        <v>159</v>
      </c>
      <c r="AB9" s="143" t="s">
        <v>160</v>
      </c>
      <c r="AC9" s="143" t="s">
        <v>149</v>
      </c>
      <c r="AD9" s="143" t="s">
        <v>450</v>
      </c>
      <c r="AE9" s="143" t="s">
        <v>597</v>
      </c>
    </row>
    <row r="10" spans="1:31" x14ac:dyDescent="0.2">
      <c r="B10" s="343"/>
      <c r="D10" s="343"/>
      <c r="E10" s="4" t="s">
        <v>135</v>
      </c>
      <c r="F10" s="120" t="s">
        <v>144</v>
      </c>
      <c r="G10" s="120" t="s">
        <v>148</v>
      </c>
      <c r="H10" s="120" t="s">
        <v>146</v>
      </c>
      <c r="K10" s="134"/>
      <c r="L10" s="134"/>
      <c r="M10" s="146" t="s">
        <v>344</v>
      </c>
      <c r="N10" s="146" t="s">
        <v>40</v>
      </c>
      <c r="O10" s="263" t="s">
        <v>40</v>
      </c>
      <c r="P10" s="146" t="s">
        <v>343</v>
      </c>
      <c r="Q10" s="264" t="s">
        <v>338</v>
      </c>
      <c r="R10" s="266" t="s">
        <v>339</v>
      </c>
      <c r="S10" s="131" t="s">
        <v>342</v>
      </c>
      <c r="T10" s="124" t="s">
        <v>65</v>
      </c>
      <c r="U10" s="131" t="s">
        <v>144</v>
      </c>
      <c r="V10" s="131" t="s">
        <v>144</v>
      </c>
      <c r="W10" s="131" t="s">
        <v>144</v>
      </c>
      <c r="X10" s="131" t="s">
        <v>148</v>
      </c>
      <c r="Y10" s="129" t="s">
        <v>161</v>
      </c>
      <c r="Z10" s="129" t="s">
        <v>161</v>
      </c>
      <c r="AA10" s="129" t="s">
        <v>161</v>
      </c>
      <c r="AB10" s="129" t="s">
        <v>161</v>
      </c>
      <c r="AC10" s="129" t="s">
        <v>147</v>
      </c>
      <c r="AD10" s="129" t="s">
        <v>147</v>
      </c>
    </row>
    <row r="11" spans="1:31" ht="13.5" x14ac:dyDescent="0.2">
      <c r="B11" s="346" t="str">
        <f t="shared" ref="B11:B41" si="2">TEXT(ROW()-$B$6,"000")</f>
        <v>001</v>
      </c>
      <c r="C11" s="145" t="str">
        <f t="shared" ref="C11:C42" si="3">B11&amp;"-"&amp;IF(ISTEXT(I11),I11,J11&amp;"; "&amp;S11&amp;" kg/m³; "&amp;E11&amp;" W/(mK); "&amp;H11&amp;" years")</f>
        <v>001-EPS-foam (grey) with radiation absorber; 16.6 kg/m³; 0.032 W/(mK); 40 years</v>
      </c>
      <c r="D11" s="348" t="str">
        <f>LEFT(C11,3)</f>
        <v>001</v>
      </c>
      <c r="E11" s="93">
        <v>3.2000000000000001E-2</v>
      </c>
      <c r="F11" s="142">
        <f>IF(L11=$F$6,IF(ISNUMBER(Q11),Q11*U11,U11*S11),IF(L11=$F$4,U11/N11,U11))</f>
        <v>217.89999999999998</v>
      </c>
      <c r="G11" s="142">
        <f>IF(L11=$F$6,X11*S11,IF(L11=$F$4,X11/N11,X11))</f>
        <v>49.7</v>
      </c>
      <c r="H11" s="94">
        <v>40</v>
      </c>
      <c r="I11" s="133"/>
      <c r="J11" s="133" t="s">
        <v>986</v>
      </c>
      <c r="K11" s="137">
        <f>VLOOKUP(J11,Ökobaudat!$D$5:$CK$165,Ökobaudat!$T$1,0)</f>
        <v>1</v>
      </c>
      <c r="L11" s="136" t="str">
        <f>VLOOKUP(J11,Ökobaudat!$D$5:$CK$165,Ökobaudat!$U$1,0)</f>
        <v>m3</v>
      </c>
      <c r="M11" s="93"/>
      <c r="N11" s="139" t="str">
        <f t="shared" ref="N11:N42" si="4">IF(ISNUMBER(M11),M11/1000,IF(ISNUMBER(P11),P11/S11,""))</f>
        <v/>
      </c>
      <c r="O11" s="135" t="str">
        <f>IF(ISNUMBER(VLOOKUP(J11,Ökobaudat!$D$5:$CK$165,Ökobaudat!$AA$1,0)),VLOOKUP(J11,Ökobaudat!$D$5:$CK$165,Ökobaudat!$AA$1,0),"")</f>
        <v/>
      </c>
      <c r="P11" s="93"/>
      <c r="Q11" s="135">
        <f>IF(ISNUMBER(VLOOKUP(J11,Ökobaudat!$D$5:$CK$160,Ökobaudat!$Z$1,0)),VLOOKUP(J11,Ökobaudat!$D$5:$CK$160,Ökobaudat!$Z$1,0),"")</f>
        <v>16.600000000000001</v>
      </c>
      <c r="R11" s="138"/>
      <c r="S11" s="140">
        <f>IF(ISNUMBER(R11),R11,Q11)</f>
        <v>16.600000000000001</v>
      </c>
      <c r="T11" s="124">
        <f t="shared" ref="T11:T29" si="5">IF(ISNUMBER(S11),IF(ISNUMBER(Q11),S11/Q11,1),1)</f>
        <v>1</v>
      </c>
      <c r="U11" s="124">
        <f>IF(Balance!$H$12=Data!$B$4,W11,V11)</f>
        <v>217.89999999999998</v>
      </c>
      <c r="V11" s="124">
        <f>T11*SUM(Y11,AA11)</f>
        <v>217.89999999999998</v>
      </c>
      <c r="W11" s="124">
        <f>T11*SUM(Y11:AB11)</f>
        <v>400.5</v>
      </c>
      <c r="X11" s="124">
        <f>T11*SUM(AC11:AD11)</f>
        <v>49.7</v>
      </c>
      <c r="Y11" s="136">
        <f>VLOOKUP(J11,Ökobaudat!$D$5:$CK$165,Ökobaudat!$AM$1,0)/$Y$7</f>
        <v>6.0555555555555554</v>
      </c>
      <c r="Z11" s="136">
        <f>VLOOKUP(J11,Ökobaudat!$D$5:$CK$165,Ökobaudat!$AN$1,0)/$Y$7</f>
        <v>0</v>
      </c>
      <c r="AA11" s="136">
        <f>VLOOKUP(J11,Ökobaudat!$D$5:$CK$165,Ökobaudat!$AP$1,0)/$Y$7</f>
        <v>211.84444444444443</v>
      </c>
      <c r="AB11" s="136">
        <f>VLOOKUP(J11,Ökobaudat!$D$5:$CK$165,Ökobaudat!$AQ$1,0)/$Y$7</f>
        <v>182.6</v>
      </c>
      <c r="AC11" s="136">
        <f>IF(ISNUMBER(VLOOKUP(J11,Ökobaudat!$D$5:$CK$165,Ökobaudat!$AF$1,0)),VLOOKUP(J11,Ökobaudat!$D$5:$CK$165,Ökobaudat!$AF$1,0),"")</f>
        <v>49.7</v>
      </c>
      <c r="AD11" s="136" t="str">
        <f>IF(ISNUMBER(VLOOKUP(J11,Ökobaudat!$D$5:$CK$165,Ökobaudat!$BF$1,0)),VLOOKUP(J11,Ökobaudat!$D$5:$CK$165,Ökobaudat!$BF$1,0),"")</f>
        <v/>
      </c>
      <c r="AE11" s="136" t="str">
        <f>IF(ISTEXT(VLOOKUP(J11,Ökobaudat!$D$5:$CK$165,Ökobaudat!$BX$1,0)),VLOOKUP(J11,Ökobaudat!$D$5:$CK$165,Ökobaudat!$BX$1,0),"")</f>
        <v/>
      </c>
    </row>
    <row r="12" spans="1:31" ht="13.5" x14ac:dyDescent="0.2">
      <c r="B12" s="346" t="str">
        <f t="shared" si="2"/>
        <v>002</v>
      </c>
      <c r="C12" s="145" t="str">
        <f t="shared" si="3"/>
        <v>002-Mineral wool (flat roof insulation); 145 kg/m³; 0.035 W/(mK); 40 years</v>
      </c>
      <c r="D12" s="348" t="str">
        <f t="shared" ref="D12:D75" si="6">LEFT(C12,3)</f>
        <v>002</v>
      </c>
      <c r="E12" s="93">
        <v>3.5000000000000003E-2</v>
      </c>
      <c r="F12" s="142">
        <f t="shared" ref="F12:F74" si="7">IF(L12=$F$6,IF(ISNUMBER(Q12),Q12*U12,U12*S12),IF(L12=$F$4,U12/N12,U12))</f>
        <v>679.51079196710771</v>
      </c>
      <c r="G12" s="142">
        <f t="shared" ref="G12:G75" si="8">IF(L12=$F$6,X12*S12,IF(L12=$F$4,X12/N12,X12))</f>
        <v>207.98677030368501</v>
      </c>
      <c r="H12" s="94">
        <v>40</v>
      </c>
      <c r="I12" s="133"/>
      <c r="J12" s="133" t="s">
        <v>474</v>
      </c>
      <c r="K12" s="137">
        <f>VLOOKUP(J12,Ökobaudat!$D$5:$CK$165,Ökobaudat!$T$1,0)</f>
        <v>1</v>
      </c>
      <c r="L12" s="136" t="str">
        <f>VLOOKUP(J12,Ökobaudat!$D$5:$CK$165,Ökobaudat!$U$1,0)</f>
        <v>m3</v>
      </c>
      <c r="M12" s="93"/>
      <c r="N12" s="139" t="str">
        <f t="shared" si="4"/>
        <v/>
      </c>
      <c r="O12" s="135" t="str">
        <f>IF(ISNUMBER(VLOOKUP(J12,Ökobaudat!$D$5:$CK$165,Ökobaudat!$AA$1,0)),VLOOKUP(J12,Ökobaudat!$D$5:$CK$165,Ökobaudat!$AA$1,0),"")</f>
        <v/>
      </c>
      <c r="P12" s="93"/>
      <c r="Q12" s="135">
        <f>IF(ISNUMBER(VLOOKUP(J12,Ökobaudat!$D$5:$CK$160,Ökobaudat!$Z$1,0)),VLOOKUP(J12,Ökobaudat!$D$5:$CK$160,Ökobaudat!$Z$1,0),"")</f>
        <v>145</v>
      </c>
      <c r="R12" s="138"/>
      <c r="S12" s="140">
        <f t="shared" ref="S12:S49" si="9">IF(ISNUMBER(R12),R12,Q12)</f>
        <v>145</v>
      </c>
      <c r="T12" s="124">
        <f t="shared" si="5"/>
        <v>1</v>
      </c>
      <c r="U12" s="124">
        <f>IF(Balance!$H$12=Data!$B$4,W12,V12)</f>
        <v>679.51079196710771</v>
      </c>
      <c r="V12" s="124">
        <f t="shared" ref="V12:V75" si="10">T12*SUM(Y12,AA12)</f>
        <v>679.51079196710771</v>
      </c>
      <c r="W12" s="124">
        <f t="shared" ref="W12:W75" si="11">T12*SUM(Y12:AB12)</f>
        <v>679.51079196710771</v>
      </c>
      <c r="X12" s="124">
        <f t="shared" ref="X12:X75" si="12">T12*SUM(AC12:AD12)</f>
        <v>207.98677030368501</v>
      </c>
      <c r="Y12" s="136">
        <f>VLOOKUP(J12,Ökobaudat!$D$5:$CK$165,Ökobaudat!$AM$1,0)/$Y$7</f>
        <v>107.98945545711889</v>
      </c>
      <c r="Z12" s="136">
        <f>VLOOKUP(J12,Ökobaudat!$D$5:$CK$165,Ökobaudat!$AN$1,0)/$Y$7</f>
        <v>0</v>
      </c>
      <c r="AA12" s="136">
        <f>VLOOKUP(J12,Ökobaudat!$D$5:$CK$165,Ökobaudat!$AP$1,0)/$Y$7</f>
        <v>571.52133650998883</v>
      </c>
      <c r="AB12" s="136">
        <f>VLOOKUP(J12,Ökobaudat!$D$5:$CK$165,Ökobaudat!$AQ$1,0)/$Y$7</f>
        <v>0</v>
      </c>
      <c r="AC12" s="136" t="str">
        <f>IF(ISNUMBER(VLOOKUP(J12,Ökobaudat!$D$5:$CK$165,Ökobaudat!$AF$1,0)),VLOOKUP(J12,Ökobaudat!$D$5:$CK$165,Ökobaudat!$AF$1,0),"")</f>
        <v/>
      </c>
      <c r="AD12" s="136">
        <f>IF(ISNUMBER(VLOOKUP(J12,Ökobaudat!$D$5:$CK$165,Ökobaudat!$BF$1,0)),VLOOKUP(J12,Ökobaudat!$D$5:$CK$165,Ökobaudat!$BF$1,0),"")</f>
        <v>207.98677030368501</v>
      </c>
      <c r="AE12" s="136" t="str">
        <f>IF(ISTEXT(VLOOKUP(J12,Ökobaudat!$D$5:$CK$165,Ökobaudat!$BX$1,0)),VLOOKUP(J12,Ökobaudat!$D$5:$CK$165,Ökobaudat!$BX$1,0),"")</f>
        <v/>
      </c>
    </row>
    <row r="13" spans="1:31" ht="13.5" x14ac:dyDescent="0.2">
      <c r="B13" s="346" t="str">
        <f t="shared" si="2"/>
        <v>003</v>
      </c>
      <c r="C13" s="145" t="str">
        <f t="shared" si="3"/>
        <v>003-Mineral wool (pitched roof insulation); 30 kg/m³; 0.035 W/(mK); 40 years</v>
      </c>
      <c r="D13" s="348" t="str">
        <f t="shared" si="6"/>
        <v>003</v>
      </c>
      <c r="E13" s="93">
        <v>3.5000000000000003E-2</v>
      </c>
      <c r="F13" s="142">
        <f t="shared" si="7"/>
        <v>192.72001572903667</v>
      </c>
      <c r="G13" s="142">
        <f t="shared" si="8"/>
        <v>46.182631382056201</v>
      </c>
      <c r="H13" s="94">
        <v>40</v>
      </c>
      <c r="I13" s="133"/>
      <c r="J13" s="133" t="s">
        <v>481</v>
      </c>
      <c r="K13" s="137">
        <f>VLOOKUP(J13,Ökobaudat!$D$5:$CK$165,Ökobaudat!$T$1,0)</f>
        <v>1</v>
      </c>
      <c r="L13" s="136" t="str">
        <f>VLOOKUP(J13,Ökobaudat!$D$5:$CK$165,Ökobaudat!$U$1,0)</f>
        <v>m3</v>
      </c>
      <c r="M13" s="93"/>
      <c r="N13" s="139" t="str">
        <f t="shared" si="4"/>
        <v/>
      </c>
      <c r="O13" s="135" t="str">
        <f>IF(ISNUMBER(VLOOKUP(J13,Ökobaudat!$D$5:$CK$165,Ökobaudat!$AA$1,0)),VLOOKUP(J13,Ökobaudat!$D$5:$CK$165,Ökobaudat!$AA$1,0),"")</f>
        <v/>
      </c>
      <c r="P13" s="93"/>
      <c r="Q13" s="135">
        <f>IF(ISNUMBER(VLOOKUP(J13,Ökobaudat!$D$5:$CK$160,Ökobaudat!$Z$1,0)),VLOOKUP(J13,Ökobaudat!$D$5:$CK$160,Ökobaudat!$Z$1,0),"")</f>
        <v>30</v>
      </c>
      <c r="R13" s="138"/>
      <c r="S13" s="140">
        <f t="shared" si="9"/>
        <v>30</v>
      </c>
      <c r="T13" s="124">
        <f t="shared" si="5"/>
        <v>1</v>
      </c>
      <c r="U13" s="124">
        <f>IF(Balance!$H$12=Data!$B$4,W13,V13)</f>
        <v>192.72001572903667</v>
      </c>
      <c r="V13" s="124">
        <f t="shared" si="10"/>
        <v>192.72001572903667</v>
      </c>
      <c r="W13" s="124">
        <f t="shared" si="11"/>
        <v>192.72001572903667</v>
      </c>
      <c r="X13" s="124">
        <f t="shared" si="12"/>
        <v>46.182631382056201</v>
      </c>
      <c r="Y13" s="136">
        <f>VLOOKUP(J13,Ökobaudat!$D$5:$CK$165,Ökobaudat!$AM$1,0)/$Y$7</f>
        <v>30.688076732826946</v>
      </c>
      <c r="Z13" s="136">
        <f>VLOOKUP(J13,Ökobaudat!$D$5:$CK$165,Ökobaudat!$AN$1,0)/$Y$7</f>
        <v>0</v>
      </c>
      <c r="AA13" s="136">
        <f>VLOOKUP(J13,Ökobaudat!$D$5:$CK$165,Ökobaudat!$AP$1,0)/$Y$7</f>
        <v>162.03193899620973</v>
      </c>
      <c r="AB13" s="136">
        <f>VLOOKUP(J13,Ökobaudat!$D$5:$CK$165,Ökobaudat!$AQ$1,0)/$Y$7</f>
        <v>0</v>
      </c>
      <c r="AC13" s="136" t="str">
        <f>IF(ISNUMBER(VLOOKUP(J13,Ökobaudat!$D$5:$CK$165,Ökobaudat!$AF$1,0)),VLOOKUP(J13,Ökobaudat!$D$5:$CK$165,Ökobaudat!$AF$1,0),"")</f>
        <v/>
      </c>
      <c r="AD13" s="136">
        <f>IF(ISNUMBER(VLOOKUP(J13,Ökobaudat!$D$5:$CK$165,Ökobaudat!$BF$1,0)),VLOOKUP(J13,Ökobaudat!$D$5:$CK$165,Ökobaudat!$BF$1,0),"")</f>
        <v>46.182631382056201</v>
      </c>
      <c r="AE13" s="136" t="str">
        <f>IF(ISTEXT(VLOOKUP(J13,Ökobaudat!$D$5:$CK$165,Ökobaudat!$BX$1,0)),VLOOKUP(J13,Ökobaudat!$D$5:$CK$165,Ökobaudat!$BX$1,0),"")</f>
        <v/>
      </c>
    </row>
    <row r="14" spans="1:31" ht="13.5" x14ac:dyDescent="0.2">
      <c r="B14" s="346" t="str">
        <f t="shared" si="2"/>
        <v>004</v>
      </c>
      <c r="C14" s="145" t="str">
        <f t="shared" si="3"/>
        <v>004-Wood fiber insulation - dry process (German average); 150.76 kg/m³; 0.045 W/(mK); 40 years</v>
      </c>
      <c r="D14" s="348" t="str">
        <f t="shared" si="6"/>
        <v>004</v>
      </c>
      <c r="E14" s="93">
        <v>4.4999999999999998E-2</v>
      </c>
      <c r="F14" s="142">
        <f t="shared" si="7"/>
        <v>700.38883783406686</v>
      </c>
      <c r="G14" s="142">
        <f t="shared" si="8"/>
        <v>-153.896768984163</v>
      </c>
      <c r="H14" s="94">
        <v>40</v>
      </c>
      <c r="I14" s="133"/>
      <c r="J14" s="133" t="s">
        <v>485</v>
      </c>
      <c r="K14" s="137">
        <f>VLOOKUP(J14,Ökobaudat!$D$5:$CK$165,Ökobaudat!$T$1,0)</f>
        <v>1</v>
      </c>
      <c r="L14" s="136" t="str">
        <f>VLOOKUP(J14,Ökobaudat!$D$5:$CK$165,Ökobaudat!$U$1,0)</f>
        <v>m3</v>
      </c>
      <c r="M14" s="93"/>
      <c r="N14" s="139" t="str">
        <f t="shared" si="4"/>
        <v/>
      </c>
      <c r="O14" s="135" t="str">
        <f>IF(ISNUMBER(VLOOKUP(J14,Ökobaudat!$D$5:$CK$165,Ökobaudat!$AA$1,0)),VLOOKUP(J14,Ökobaudat!$D$5:$CK$165,Ökobaudat!$AA$1,0),"")</f>
        <v/>
      </c>
      <c r="P14" s="93"/>
      <c r="Q14" s="135">
        <f>IF(ISNUMBER(VLOOKUP(J14,Ökobaudat!$D$5:$CK$160,Ökobaudat!$Z$1,0)),VLOOKUP(J14,Ökobaudat!$D$5:$CK$160,Ökobaudat!$Z$1,0),"")</f>
        <v>150.76</v>
      </c>
      <c r="R14" s="138"/>
      <c r="S14" s="140">
        <f t="shared" si="9"/>
        <v>150.76</v>
      </c>
      <c r="T14" s="124">
        <f t="shared" si="5"/>
        <v>1</v>
      </c>
      <c r="U14" s="124">
        <f>IF(Balance!$H$12=Data!$B$4,W14,V14)</f>
        <v>700.38883783406686</v>
      </c>
      <c r="V14" s="124">
        <f t="shared" si="10"/>
        <v>700.38883783406686</v>
      </c>
      <c r="W14" s="124">
        <f t="shared" si="11"/>
        <v>1452.9394454979779</v>
      </c>
      <c r="X14" s="124">
        <f t="shared" si="12"/>
        <v>-153.896768984163</v>
      </c>
      <c r="Y14" s="136">
        <f>VLOOKUP(J14,Ökobaudat!$D$5:$CK$165,Ökobaudat!$AM$1,0)/$Y$7</f>
        <v>225.24888096875583</v>
      </c>
      <c r="Z14" s="136">
        <f>VLOOKUP(J14,Ökobaudat!$D$5:$CK$165,Ökobaudat!$AN$1,0)/$Y$7</f>
        <v>724.42031656460006</v>
      </c>
      <c r="AA14" s="136">
        <f>VLOOKUP(J14,Ökobaudat!$D$5:$CK$165,Ökobaudat!$AP$1,0)/$Y$7</f>
        <v>475.13995686531109</v>
      </c>
      <c r="AB14" s="136">
        <f>VLOOKUP(J14,Ökobaudat!$D$5:$CK$165,Ökobaudat!$AQ$1,0)/$Y$7</f>
        <v>28.130291099310835</v>
      </c>
      <c r="AC14" s="136" t="str">
        <f>IF(ISNUMBER(VLOOKUP(J14,Ökobaudat!$D$5:$CK$165,Ökobaudat!$AF$1,0)),VLOOKUP(J14,Ökobaudat!$D$5:$CK$165,Ökobaudat!$AF$1,0),"")</f>
        <v/>
      </c>
      <c r="AD14" s="136">
        <f>IF(ISNUMBER(VLOOKUP(J14,Ökobaudat!$D$5:$CK$165,Ökobaudat!$BF$1,0)),VLOOKUP(J14,Ökobaudat!$D$5:$CK$165,Ökobaudat!$BF$1,0),"")</f>
        <v>-153.896768984163</v>
      </c>
      <c r="AE14" s="136" t="str">
        <f>IF(ISTEXT(VLOOKUP(J14,Ökobaudat!$D$5:$CK$165,Ökobaudat!$BX$1,0)),VLOOKUP(J14,Ökobaudat!$D$5:$CK$165,Ökobaudat!$BX$1,0),"")</f>
        <v/>
      </c>
    </row>
    <row r="15" spans="1:31" ht="13.5" x14ac:dyDescent="0.2">
      <c r="B15" s="346" t="str">
        <f t="shared" si="2"/>
        <v>005</v>
      </c>
      <c r="C15" s="145" t="str">
        <f t="shared" si="3"/>
        <v>005-Phenolic resin foam; 40 kg/m³; 0.022 W/(mK); 40 years</v>
      </c>
      <c r="D15" s="348" t="str">
        <f t="shared" si="6"/>
        <v>005</v>
      </c>
      <c r="E15" s="93">
        <v>2.1999999999999999E-2</v>
      </c>
      <c r="F15" s="142">
        <f t="shared" si="7"/>
        <v>467.31373173526583</v>
      </c>
      <c r="G15" s="142">
        <f t="shared" si="8"/>
        <v>91.918585561511307</v>
      </c>
      <c r="H15" s="94">
        <v>40</v>
      </c>
      <c r="I15" s="133"/>
      <c r="J15" s="133" t="s">
        <v>492</v>
      </c>
      <c r="K15" s="137">
        <f>VLOOKUP(J15,Ökobaudat!$D$5:$CK$165,Ökobaudat!$T$1,0)</f>
        <v>1</v>
      </c>
      <c r="L15" s="136" t="str">
        <f>VLOOKUP(J15,Ökobaudat!$D$5:$CK$165,Ökobaudat!$U$1,0)</f>
        <v>m3</v>
      </c>
      <c r="M15" s="93"/>
      <c r="N15" s="139" t="str">
        <f t="shared" si="4"/>
        <v/>
      </c>
      <c r="O15" s="135" t="str">
        <f>IF(ISNUMBER(VLOOKUP(J15,Ökobaudat!$D$5:$CK$165,Ökobaudat!$AA$1,0)),VLOOKUP(J15,Ökobaudat!$D$5:$CK$165,Ökobaudat!$AA$1,0),"")</f>
        <v/>
      </c>
      <c r="P15" s="93"/>
      <c r="Q15" s="135">
        <f>IF(ISNUMBER(VLOOKUP(J15,Ökobaudat!$D$5:$CK$160,Ökobaudat!$Z$1,0)),VLOOKUP(J15,Ökobaudat!$D$5:$CK$160,Ökobaudat!$Z$1,0),"")</f>
        <v>40</v>
      </c>
      <c r="R15" s="138"/>
      <c r="S15" s="140">
        <f t="shared" si="9"/>
        <v>40</v>
      </c>
      <c r="T15" s="124">
        <f t="shared" si="5"/>
        <v>1</v>
      </c>
      <c r="U15" s="124">
        <f>IF(Balance!$H$12=Data!$B$4,W15,V15)</f>
        <v>467.31373173526583</v>
      </c>
      <c r="V15" s="124">
        <f t="shared" si="10"/>
        <v>467.31373173526583</v>
      </c>
      <c r="W15" s="124">
        <f t="shared" si="11"/>
        <v>707.31373173526583</v>
      </c>
      <c r="X15" s="124">
        <f t="shared" si="12"/>
        <v>91.918585561511307</v>
      </c>
      <c r="Y15" s="136">
        <f>VLOOKUP(J15,Ökobaudat!$D$5:$CK$165,Ökobaudat!$AM$1,0)/$Y$7</f>
        <v>33.336089270263059</v>
      </c>
      <c r="Z15" s="136">
        <f>VLOOKUP(J15,Ökobaudat!$D$5:$CK$165,Ökobaudat!$AN$1,0)/$Y$7</f>
        <v>0</v>
      </c>
      <c r="AA15" s="136">
        <f>VLOOKUP(J15,Ökobaudat!$D$5:$CK$165,Ökobaudat!$AP$1,0)/$Y$7</f>
        <v>433.97764246500276</v>
      </c>
      <c r="AB15" s="136">
        <f>VLOOKUP(J15,Ökobaudat!$D$5:$CK$165,Ökobaudat!$AQ$1,0)/$Y$7</f>
        <v>240</v>
      </c>
      <c r="AC15" s="136" t="str">
        <f>IF(ISNUMBER(VLOOKUP(J15,Ökobaudat!$D$5:$CK$165,Ökobaudat!$AF$1,0)),VLOOKUP(J15,Ökobaudat!$D$5:$CK$165,Ökobaudat!$AF$1,0),"")</f>
        <v/>
      </c>
      <c r="AD15" s="136">
        <f>IF(ISNUMBER(VLOOKUP(J15,Ökobaudat!$D$5:$CK$165,Ökobaudat!$BF$1,0)),VLOOKUP(J15,Ökobaudat!$D$5:$CK$165,Ökobaudat!$BF$1,0),"")</f>
        <v>91.918585561511307</v>
      </c>
      <c r="AE15" s="136" t="str">
        <f>IF(ISTEXT(VLOOKUP(J15,Ökobaudat!$D$5:$CK$165,Ökobaudat!$BX$1,0)),VLOOKUP(J15,Ökobaudat!$D$5:$CK$165,Ökobaudat!$BX$1,0),"")</f>
        <v/>
      </c>
    </row>
    <row r="16" spans="1:31" ht="13.5" x14ac:dyDescent="0.2">
      <c r="B16" s="346" t="str">
        <f t="shared" si="2"/>
        <v>006</v>
      </c>
      <c r="C16" s="145" t="str">
        <f t="shared" si="3"/>
        <v>006-FASBA e.V. Construction Straw; 100 kg/m³; 0.049 W/(mK); 40 years</v>
      </c>
      <c r="D16" s="348" t="str">
        <f t="shared" si="6"/>
        <v>006</v>
      </c>
      <c r="E16" s="93">
        <v>4.9000000000000002E-2</v>
      </c>
      <c r="F16" s="142">
        <f t="shared" si="7"/>
        <v>20.333333333333332</v>
      </c>
      <c r="G16" s="142">
        <f t="shared" si="8"/>
        <v>-127</v>
      </c>
      <c r="H16" s="94">
        <v>40</v>
      </c>
      <c r="I16" s="133"/>
      <c r="J16" s="133" t="s">
        <v>1002</v>
      </c>
      <c r="K16" s="137">
        <f>VLOOKUP(J16,Ökobaudat!$D$5:$CK$165,Ökobaudat!$T$1,0)</f>
        <v>1</v>
      </c>
      <c r="L16" s="136" t="str">
        <f>VLOOKUP(J16,Ökobaudat!$D$5:$CK$165,Ökobaudat!$U$1,0)</f>
        <v>m3</v>
      </c>
      <c r="M16" s="93"/>
      <c r="N16" s="139" t="str">
        <f t="shared" si="4"/>
        <v/>
      </c>
      <c r="O16" s="135" t="str">
        <f>IF(ISNUMBER(VLOOKUP(J16,Ökobaudat!$D$5:$CK$165,Ökobaudat!$AA$1,0)),VLOOKUP(J16,Ökobaudat!$D$5:$CK$165,Ökobaudat!$AA$1,0),"")</f>
        <v/>
      </c>
      <c r="P16" s="93"/>
      <c r="Q16" s="135">
        <f>IF(ISNUMBER(VLOOKUP(J16,Ökobaudat!$D$5:$CK$160,Ökobaudat!$Z$1,0)),VLOOKUP(J16,Ökobaudat!$D$5:$CK$160,Ökobaudat!$Z$1,0),"")</f>
        <v>100</v>
      </c>
      <c r="R16" s="138"/>
      <c r="S16" s="140">
        <f t="shared" si="9"/>
        <v>100</v>
      </c>
      <c r="T16" s="124">
        <f t="shared" si="5"/>
        <v>1</v>
      </c>
      <c r="U16" s="124">
        <f>IF(Balance!$H$12=Data!$B$4,W16,V16)</f>
        <v>20.333333333333332</v>
      </c>
      <c r="V16" s="124">
        <f t="shared" si="10"/>
        <v>20.333333333333332</v>
      </c>
      <c r="W16" s="124">
        <f t="shared" si="11"/>
        <v>474.16388888888895</v>
      </c>
      <c r="X16" s="124">
        <f t="shared" si="12"/>
        <v>-127</v>
      </c>
      <c r="Y16" s="136">
        <f>VLOOKUP(J16,Ökobaudat!$D$5:$CK$165,Ökobaudat!$AM$1,0)/$Y$7</f>
        <v>3.9444444444444442</v>
      </c>
      <c r="Z16" s="136">
        <f>VLOOKUP(J16,Ökobaudat!$D$5:$CK$165,Ökobaudat!$AN$1,0)/$Y$7</f>
        <v>452.77777777777777</v>
      </c>
      <c r="AA16" s="136">
        <f>VLOOKUP(J16,Ökobaudat!$D$5:$CK$165,Ökobaudat!$AP$1,0)/$Y$7</f>
        <v>16.388888888888889</v>
      </c>
      <c r="AB16" s="136">
        <f>VLOOKUP(J16,Ökobaudat!$D$5:$CK$165,Ökobaudat!$AQ$1,0)/$Y$7</f>
        <v>1.0527777777777778</v>
      </c>
      <c r="AC16" s="136">
        <f>IF(ISNUMBER(VLOOKUP(J16,Ökobaudat!$D$5:$CK$165,Ökobaudat!$AF$1,0)),VLOOKUP(J16,Ökobaudat!$D$5:$CK$165,Ökobaudat!$AF$1,0),"")</f>
        <v>-127</v>
      </c>
      <c r="AD16" s="136" t="str">
        <f>IF(ISNUMBER(VLOOKUP(J16,Ökobaudat!$D$5:$CK$165,Ökobaudat!$BF$1,0)),VLOOKUP(J16,Ökobaudat!$D$5:$CK$165,Ökobaudat!$BF$1,0),"")</f>
        <v/>
      </c>
      <c r="AE16" s="136" t="str">
        <f>IF(ISTEXT(VLOOKUP(J16,Ökobaudat!$D$5:$CK$165,Ökobaudat!$BX$1,0)),VLOOKUP(J16,Ökobaudat!$D$5:$CK$165,Ökobaudat!$BX$1,0),"")</f>
        <v/>
      </c>
    </row>
    <row r="17" spans="2:31" ht="13.5" x14ac:dyDescent="0.2">
      <c r="B17" s="346" t="str">
        <f t="shared" si="2"/>
        <v>007</v>
      </c>
      <c r="C17" s="145" t="str">
        <f t="shared" si="3"/>
        <v>007-Cellulose fibre blow-in insulation material; 45 kg/m³; 0.04 W/(mK); 40 years</v>
      </c>
      <c r="D17" s="348" t="str">
        <f t="shared" si="6"/>
        <v>007</v>
      </c>
      <c r="E17" s="93">
        <v>0.04</v>
      </c>
      <c r="F17" s="142">
        <f t="shared" si="7"/>
        <v>33.878444444444447</v>
      </c>
      <c r="G17" s="142">
        <f t="shared" si="8"/>
        <v>-73.372500000000002</v>
      </c>
      <c r="H17" s="94">
        <v>40</v>
      </c>
      <c r="I17" s="133"/>
      <c r="J17" s="133" t="s">
        <v>1001</v>
      </c>
      <c r="K17" s="137">
        <f>VLOOKUP(J17,Ökobaudat!$D$5:$CK$165,Ökobaudat!$T$1,0)</f>
        <v>1</v>
      </c>
      <c r="L17" s="136" t="str">
        <f>VLOOKUP(J17,Ökobaudat!$D$5:$CK$165,Ökobaudat!$U$1,0)</f>
        <v>m3</v>
      </c>
      <c r="M17" s="93"/>
      <c r="N17" s="139" t="str">
        <f t="shared" si="4"/>
        <v/>
      </c>
      <c r="O17" s="135" t="str">
        <f>IF(ISNUMBER(VLOOKUP(J17,Ökobaudat!$D$5:$CK$165,Ökobaudat!$AA$1,0)),VLOOKUP(J17,Ökobaudat!$D$5:$CK$165,Ökobaudat!$AA$1,0),"")</f>
        <v/>
      </c>
      <c r="P17" s="93"/>
      <c r="Q17" s="135">
        <f>IF(ISNUMBER(VLOOKUP(J17,Ökobaudat!$D$5:$CK$160,Ökobaudat!$Z$1,0)),VLOOKUP(J17,Ökobaudat!$D$5:$CK$160,Ökobaudat!$Z$1,0),"")</f>
        <v>45</v>
      </c>
      <c r="R17" s="138"/>
      <c r="S17" s="140">
        <f t="shared" si="9"/>
        <v>45</v>
      </c>
      <c r="T17" s="124">
        <f t="shared" si="5"/>
        <v>1</v>
      </c>
      <c r="U17" s="124">
        <f>IF(Balance!$H$12=Data!$B$4,W17,V17)</f>
        <v>33.878444444444447</v>
      </c>
      <c r="V17" s="124">
        <f t="shared" si="10"/>
        <v>33.878444444444447</v>
      </c>
      <c r="W17" s="124">
        <f t="shared" si="11"/>
        <v>258.87844444444448</v>
      </c>
      <c r="X17" s="124">
        <f t="shared" si="12"/>
        <v>-73.372500000000002</v>
      </c>
      <c r="Y17" s="136">
        <f>VLOOKUP(J17,Ökobaudat!$D$5:$CK$165,Ökobaudat!$AM$1,0)/$Y$7</f>
        <v>7.5479166666666666</v>
      </c>
      <c r="Z17" s="136">
        <f>VLOOKUP(J17,Ökobaudat!$D$5:$CK$165,Ökobaudat!$AN$1,0)/$Y$7</f>
        <v>225</v>
      </c>
      <c r="AA17" s="136">
        <f>VLOOKUP(J17,Ökobaudat!$D$5:$CK$165,Ökobaudat!$AP$1,0)/$Y$7</f>
        <v>26.330527777777778</v>
      </c>
      <c r="AB17" s="136">
        <f>VLOOKUP(J17,Ökobaudat!$D$5:$CK$165,Ökobaudat!$AQ$1,0)/$Y$7</f>
        <v>0</v>
      </c>
      <c r="AC17" s="136">
        <f>IF(ISNUMBER(VLOOKUP(J17,Ökobaudat!$D$5:$CK$165,Ökobaudat!$AF$1,0)),VLOOKUP(J17,Ökobaudat!$D$5:$CK$165,Ökobaudat!$AF$1,0),"")</f>
        <v>-73.372500000000002</v>
      </c>
      <c r="AD17" s="136" t="str">
        <f>IF(ISNUMBER(VLOOKUP(J17,Ökobaudat!$D$5:$CK$165,Ökobaudat!$BF$1,0)),VLOOKUP(J17,Ökobaudat!$D$5:$CK$165,Ökobaudat!$BF$1,0),"")</f>
        <v/>
      </c>
      <c r="AE17" s="136" t="str">
        <f>IF(ISTEXT(VLOOKUP(J17,Ökobaudat!$D$5:$CK$165,Ökobaudat!$BX$1,0)),VLOOKUP(J17,Ökobaudat!$D$5:$CK$165,Ökobaudat!$BX$1,0),"")</f>
        <v/>
      </c>
    </row>
    <row r="18" spans="2:31" ht="13.5" x14ac:dyDescent="0.2">
      <c r="B18" s="346" t="str">
        <f t="shared" si="2"/>
        <v>008</v>
      </c>
      <c r="C18" s="145" t="str">
        <f t="shared" si="3"/>
        <v>008-;  kg/m³;  W/(mK);  years</v>
      </c>
      <c r="D18" s="348" t="str">
        <f t="shared" si="6"/>
        <v>008</v>
      </c>
      <c r="E18" s="93"/>
      <c r="F18" s="142" t="e">
        <f t="shared" si="7"/>
        <v>#N/A</v>
      </c>
      <c r="G18" s="142" t="e">
        <f t="shared" si="8"/>
        <v>#N/A</v>
      </c>
      <c r="H18" s="94"/>
      <c r="I18" s="133"/>
      <c r="J18" s="133"/>
      <c r="K18" s="137" t="e">
        <f>VLOOKUP(J18,Ökobaudat!$D$5:$CK$165,Ökobaudat!$T$1,0)</f>
        <v>#N/A</v>
      </c>
      <c r="L18" s="136" t="e">
        <f>VLOOKUP(J18,Ökobaudat!$D$5:$CK$165,Ökobaudat!$U$1,0)</f>
        <v>#N/A</v>
      </c>
      <c r="M18" s="93"/>
      <c r="N18" s="139" t="str">
        <f t="shared" si="4"/>
        <v/>
      </c>
      <c r="O18" s="135" t="str">
        <f>IF(ISNUMBER(VLOOKUP(J18,Ökobaudat!$D$5:$CK$165,Ökobaudat!$AA$1,0)),VLOOKUP(J18,Ökobaudat!$D$5:$CK$165,Ökobaudat!$AA$1,0),"")</f>
        <v/>
      </c>
      <c r="P18" s="93"/>
      <c r="Q18" s="135" t="str">
        <f>IF(ISNUMBER(VLOOKUP(J18,Ökobaudat!$D$5:$CK$160,Ökobaudat!$Z$1,0)),VLOOKUP(J18,Ökobaudat!$D$5:$CK$160,Ökobaudat!$Z$1,0),"")</f>
        <v/>
      </c>
      <c r="R18" s="138"/>
      <c r="S18" s="140" t="str">
        <f t="shared" si="9"/>
        <v/>
      </c>
      <c r="T18" s="124">
        <f t="shared" si="5"/>
        <v>1</v>
      </c>
      <c r="U18" s="124" t="e">
        <f>IF(Balance!$H$12=Data!$B$4,W18,V18)</f>
        <v>#N/A</v>
      </c>
      <c r="V18" s="124" t="e">
        <f t="shared" si="10"/>
        <v>#N/A</v>
      </c>
      <c r="W18" s="124" t="e">
        <f t="shared" si="11"/>
        <v>#N/A</v>
      </c>
      <c r="X18" s="124">
        <f t="shared" si="12"/>
        <v>0</v>
      </c>
      <c r="Y18" s="136" t="e">
        <f>VLOOKUP(J18,Ökobaudat!$D$5:$CK$165,Ökobaudat!$AM$1,0)/$Y$7</f>
        <v>#N/A</v>
      </c>
      <c r="Z18" s="136" t="e">
        <f>VLOOKUP(J18,Ökobaudat!$D$5:$CK$165,Ökobaudat!$AN$1,0)/$Y$7</f>
        <v>#N/A</v>
      </c>
      <c r="AA18" s="136" t="e">
        <f>VLOOKUP(J18,Ökobaudat!$D$5:$CK$165,Ökobaudat!$AP$1,0)/$Y$7</f>
        <v>#N/A</v>
      </c>
      <c r="AB18" s="136" t="e">
        <f>VLOOKUP(J18,Ökobaudat!$D$5:$CK$165,Ökobaudat!$AQ$1,0)/$Y$7</f>
        <v>#N/A</v>
      </c>
      <c r="AC18" s="136" t="str">
        <f>IF(ISNUMBER(VLOOKUP(J18,Ökobaudat!$D$5:$CK$165,Ökobaudat!$AF$1,0)),VLOOKUP(J18,Ökobaudat!$D$5:$CK$165,Ökobaudat!$AF$1,0),"")</f>
        <v/>
      </c>
      <c r="AD18" s="136" t="str">
        <f>IF(ISNUMBER(VLOOKUP(J18,Ökobaudat!$D$5:$CK$165,Ökobaudat!$BF$1,0)),VLOOKUP(J18,Ökobaudat!$D$5:$CK$165,Ökobaudat!$BF$1,0),"")</f>
        <v/>
      </c>
      <c r="AE18" s="136" t="str">
        <f>IF(ISTEXT(VLOOKUP(J18,Ökobaudat!$D$5:$CK$165,Ökobaudat!$BX$1,0)),VLOOKUP(J18,Ökobaudat!$D$5:$CK$165,Ökobaudat!$BX$1,0),"")</f>
        <v/>
      </c>
    </row>
    <row r="19" spans="2:31" ht="13.5" x14ac:dyDescent="0.2">
      <c r="B19" s="346" t="str">
        <f t="shared" si="2"/>
        <v>009</v>
      </c>
      <c r="C19" s="145" t="str">
        <f t="shared" si="3"/>
        <v>009-Sand-lime brick 2022; 2000 kg/m³; 1 W/(mK); 80 years</v>
      </c>
      <c r="D19" s="348" t="str">
        <f t="shared" si="6"/>
        <v>009</v>
      </c>
      <c r="E19" s="93">
        <v>1</v>
      </c>
      <c r="F19" s="142">
        <f t="shared" si="7"/>
        <v>614.05957752709162</v>
      </c>
      <c r="G19" s="142">
        <f t="shared" si="8"/>
        <v>302.58299751328502</v>
      </c>
      <c r="H19" s="94">
        <v>80</v>
      </c>
      <c r="I19" s="133"/>
      <c r="J19" s="133" t="s">
        <v>1009</v>
      </c>
      <c r="K19" s="137">
        <f>VLOOKUP(J19,Ökobaudat!$D$5:$CK$165,Ökobaudat!$T$1,0)</f>
        <v>1</v>
      </c>
      <c r="L19" s="136" t="str">
        <f>VLOOKUP(J19,Ökobaudat!$D$5:$CK$165,Ökobaudat!$U$1,0)</f>
        <v>m3</v>
      </c>
      <c r="M19" s="93"/>
      <c r="N19" s="139" t="str">
        <f t="shared" si="4"/>
        <v/>
      </c>
      <c r="O19" s="135" t="str">
        <f>IF(ISNUMBER(VLOOKUP(J19,Ökobaudat!$D$5:$CK$165,Ökobaudat!$AA$1,0)),VLOOKUP(J19,Ökobaudat!$D$5:$CK$165,Ökobaudat!$AA$1,0),"")</f>
        <v/>
      </c>
      <c r="P19" s="93"/>
      <c r="Q19" s="135">
        <f>IF(ISNUMBER(VLOOKUP(J19,Ökobaudat!$D$5:$CK$160,Ökobaudat!$Z$1,0)),VLOOKUP(J19,Ökobaudat!$D$5:$CK$160,Ökobaudat!$Z$1,0),"")</f>
        <v>2000</v>
      </c>
      <c r="R19" s="138"/>
      <c r="S19" s="140">
        <f t="shared" si="9"/>
        <v>2000</v>
      </c>
      <c r="T19" s="124">
        <f t="shared" si="5"/>
        <v>1</v>
      </c>
      <c r="U19" s="124">
        <f>IF(Balance!$H$12=Data!$B$4,W19,V19)</f>
        <v>614.05957752709162</v>
      </c>
      <c r="V19" s="124">
        <f t="shared" si="10"/>
        <v>614.05957752709162</v>
      </c>
      <c r="W19" s="124">
        <f t="shared" si="11"/>
        <v>614.05957752709162</v>
      </c>
      <c r="X19" s="124">
        <f t="shared" si="12"/>
        <v>302.58299751328502</v>
      </c>
      <c r="Y19" s="136">
        <f>VLOOKUP(J19,Ökobaudat!$D$5:$CK$165,Ökobaudat!$AM$1,0)/$Y$7</f>
        <v>77.389864048502787</v>
      </c>
      <c r="Z19" s="136">
        <f>VLOOKUP(J19,Ökobaudat!$D$5:$CK$165,Ökobaudat!$AN$1,0)/$Y$7</f>
        <v>0</v>
      </c>
      <c r="AA19" s="136">
        <f>VLOOKUP(J19,Ökobaudat!$D$5:$CK$165,Ökobaudat!$AP$1,0)/$Y$7</f>
        <v>536.66971347858885</v>
      </c>
      <c r="AB19" s="136">
        <f>VLOOKUP(J19,Ökobaudat!$D$5:$CK$165,Ökobaudat!$AQ$1,0)/$Y$7</f>
        <v>0</v>
      </c>
      <c r="AC19" s="136" t="str">
        <f>IF(ISNUMBER(VLOOKUP(J19,Ökobaudat!$D$5:$CK$165,Ökobaudat!$AF$1,0)),VLOOKUP(J19,Ökobaudat!$D$5:$CK$165,Ökobaudat!$AF$1,0),"")</f>
        <v/>
      </c>
      <c r="AD19" s="136">
        <f>IF(ISNUMBER(VLOOKUP(J19,Ökobaudat!$D$5:$CK$165,Ökobaudat!$BF$1,0)),VLOOKUP(J19,Ökobaudat!$D$5:$CK$165,Ökobaudat!$BF$1,0),"")</f>
        <v>302.58299751328502</v>
      </c>
      <c r="AE19" s="136" t="str">
        <f>IF(ISTEXT(VLOOKUP(J19,Ökobaudat!$D$5:$CK$165,Ökobaudat!$BX$1,0)),VLOOKUP(J19,Ökobaudat!$D$5:$CK$165,Ökobaudat!$BX$1,0),"")</f>
        <v/>
      </c>
    </row>
    <row r="20" spans="2:31" ht="13.5" x14ac:dyDescent="0.2">
      <c r="B20" s="346" t="str">
        <f t="shared" si="2"/>
        <v>010</v>
      </c>
      <c r="C20" s="145" t="str">
        <f t="shared" si="3"/>
        <v>010-Aerated concrete P2 04 non-reinforced 2022; 300 kg/m³; 0.07 W/(mK); 80 years</v>
      </c>
      <c r="D20" s="348" t="str">
        <f t="shared" si="6"/>
        <v>010</v>
      </c>
      <c r="E20" s="93">
        <v>7.0000000000000007E-2</v>
      </c>
      <c r="F20" s="142">
        <f t="shared" si="7"/>
        <v>284.53852415094752</v>
      </c>
      <c r="G20" s="142">
        <f t="shared" si="8"/>
        <v>147.82491551626737</v>
      </c>
      <c r="H20" s="94">
        <v>80</v>
      </c>
      <c r="I20" s="133"/>
      <c r="J20" s="133" t="s">
        <v>1010</v>
      </c>
      <c r="K20" s="137">
        <f>VLOOKUP(J20,Ökobaudat!$D$5:$CK$165,Ökobaudat!$T$1,0)</f>
        <v>1</v>
      </c>
      <c r="L20" s="136" t="str">
        <f>VLOOKUP(J20,Ökobaudat!$D$5:$CK$165,Ökobaudat!$U$1,0)</f>
        <v>m3</v>
      </c>
      <c r="M20" s="93"/>
      <c r="N20" s="139" t="str">
        <f t="shared" si="4"/>
        <v/>
      </c>
      <c r="O20" s="135" t="str">
        <f>IF(ISNUMBER(VLOOKUP(J20,Ökobaudat!$D$5:$CK$165,Ökobaudat!$AA$1,0)),VLOOKUP(J20,Ökobaudat!$D$5:$CK$165,Ökobaudat!$AA$1,0),"")</f>
        <v/>
      </c>
      <c r="P20" s="93"/>
      <c r="Q20" s="135">
        <f>IF(ISNUMBER(VLOOKUP(J20,Ökobaudat!$D$5:$CK$160,Ökobaudat!$Z$1,0)),VLOOKUP(J20,Ökobaudat!$D$5:$CK$160,Ökobaudat!$Z$1,0),"")</f>
        <v>380</v>
      </c>
      <c r="R20" s="138">
        <v>300</v>
      </c>
      <c r="S20" s="140">
        <f t="shared" si="9"/>
        <v>300</v>
      </c>
      <c r="T20" s="124">
        <f t="shared" si="5"/>
        <v>0.78947368421052633</v>
      </c>
      <c r="U20" s="124">
        <f>IF(Balance!$H$12=Data!$B$4,W20,V20)</f>
        <v>284.53852415094752</v>
      </c>
      <c r="V20" s="124">
        <f t="shared" si="10"/>
        <v>284.53852415094752</v>
      </c>
      <c r="W20" s="124">
        <f t="shared" si="11"/>
        <v>284.53852415094752</v>
      </c>
      <c r="X20" s="124">
        <f t="shared" si="12"/>
        <v>147.82491551626737</v>
      </c>
      <c r="Y20" s="136">
        <f>VLOOKUP(J20,Ökobaudat!$D$5:$CK$165,Ökobaudat!$AM$1,0)/$Y$7</f>
        <v>57.993616718889164</v>
      </c>
      <c r="Z20" s="136">
        <f>VLOOKUP(J20,Ökobaudat!$D$5:$CK$165,Ökobaudat!$AN$1,0)/$Y$7</f>
        <v>0</v>
      </c>
      <c r="AA20" s="136">
        <f>VLOOKUP(J20,Ökobaudat!$D$5:$CK$165,Ökobaudat!$AP$1,0)/$Y$7</f>
        <v>302.42184720564438</v>
      </c>
      <c r="AB20" s="136">
        <f>VLOOKUP(J20,Ökobaudat!$D$5:$CK$165,Ökobaudat!$AQ$1,0)/$Y$7</f>
        <v>0</v>
      </c>
      <c r="AC20" s="136" t="str">
        <f>IF(ISNUMBER(VLOOKUP(J20,Ökobaudat!$D$5:$CK$165,Ökobaudat!$AF$1,0)),VLOOKUP(J20,Ökobaudat!$D$5:$CK$165,Ökobaudat!$AF$1,0),"")</f>
        <v/>
      </c>
      <c r="AD20" s="136">
        <f>IF(ISNUMBER(VLOOKUP(J20,Ökobaudat!$D$5:$CK$165,Ökobaudat!$BF$1,0)),VLOOKUP(J20,Ökobaudat!$D$5:$CK$165,Ökobaudat!$BF$1,0),"")</f>
        <v>187.24489298727201</v>
      </c>
      <c r="AE20" s="136" t="str">
        <f>IF(ISTEXT(VLOOKUP(J20,Ökobaudat!$D$5:$CK$165,Ökobaudat!$BX$1,0)),VLOOKUP(J20,Ökobaudat!$D$5:$CK$165,Ökobaudat!$BX$1,0),"")</f>
        <v/>
      </c>
    </row>
    <row r="21" spans="2:31" ht="13.5" x14ac:dyDescent="0.2">
      <c r="B21" s="346" t="str">
        <f t="shared" si="2"/>
        <v>011</v>
      </c>
      <c r="C21" s="145" t="str">
        <f t="shared" si="3"/>
        <v>011-Brick (filled with insulating material); 575 kg/m³; 0.07 W/(mK); 80 years</v>
      </c>
      <c r="D21" s="348" t="str">
        <f t="shared" si="6"/>
        <v>011</v>
      </c>
      <c r="E21" s="93">
        <v>7.0000000000000007E-2</v>
      </c>
      <c r="F21" s="142">
        <f t="shared" si="7"/>
        <v>509.16666666666663</v>
      </c>
      <c r="G21" s="142">
        <f t="shared" si="8"/>
        <v>146</v>
      </c>
      <c r="H21" s="94">
        <v>80</v>
      </c>
      <c r="I21" s="133"/>
      <c r="J21" s="133" t="s">
        <v>538</v>
      </c>
      <c r="K21" s="137">
        <f>VLOOKUP(J21,Ökobaudat!$D$5:$CK$165,Ökobaudat!$T$1,0)</f>
        <v>1</v>
      </c>
      <c r="L21" s="136" t="str">
        <f>VLOOKUP(J21,Ökobaudat!$D$5:$CK$165,Ökobaudat!$U$1,0)</f>
        <v>m3</v>
      </c>
      <c r="M21" s="93"/>
      <c r="N21" s="139" t="str">
        <f t="shared" si="4"/>
        <v/>
      </c>
      <c r="O21" s="135" t="str">
        <f>IF(ISNUMBER(VLOOKUP(J21,Ökobaudat!$D$5:$CK$165,Ökobaudat!$AA$1,0)),VLOOKUP(J21,Ökobaudat!$D$5:$CK$165,Ökobaudat!$AA$1,0),"")</f>
        <v/>
      </c>
      <c r="P21" s="93"/>
      <c r="Q21" s="135">
        <f>IF(ISNUMBER(VLOOKUP(J21,Ökobaudat!$D$5:$CK$160,Ökobaudat!$Z$1,0)),VLOOKUP(J21,Ökobaudat!$D$5:$CK$160,Ökobaudat!$Z$1,0),"")</f>
        <v>575</v>
      </c>
      <c r="R21" s="138"/>
      <c r="S21" s="140">
        <f t="shared" si="9"/>
        <v>575</v>
      </c>
      <c r="T21" s="124">
        <f t="shared" si="5"/>
        <v>1</v>
      </c>
      <c r="U21" s="124">
        <f>IF(Balance!$H$12=Data!$B$4,W21,V21)</f>
        <v>509.16666666666663</v>
      </c>
      <c r="V21" s="124">
        <f t="shared" si="10"/>
        <v>509.16666666666663</v>
      </c>
      <c r="W21" s="124">
        <f t="shared" si="11"/>
        <v>509.50833333333327</v>
      </c>
      <c r="X21" s="124">
        <f t="shared" si="12"/>
        <v>146</v>
      </c>
      <c r="Y21" s="136">
        <f>VLOOKUP(J21,Ökobaudat!$D$5:$CK$165,Ökobaudat!$AM$1,0)/$Y$7</f>
        <v>67.5</v>
      </c>
      <c r="Z21" s="136">
        <f>VLOOKUP(J21,Ökobaudat!$D$5:$CK$165,Ökobaudat!$AN$1,0)/$Y$7</f>
        <v>0</v>
      </c>
      <c r="AA21" s="136">
        <f>VLOOKUP(J21,Ökobaudat!$D$5:$CK$165,Ökobaudat!$AP$1,0)/$Y$7</f>
        <v>441.66666666666663</v>
      </c>
      <c r="AB21" s="136">
        <f>VLOOKUP(J21,Ökobaudat!$D$5:$CK$165,Ökobaudat!$AQ$1,0)/$Y$7</f>
        <v>0.34166666666666667</v>
      </c>
      <c r="AC21" s="136" t="str">
        <f>IF(ISNUMBER(VLOOKUP(J21,Ökobaudat!$D$5:$CK$165,Ökobaudat!$AF$1,0)),VLOOKUP(J21,Ökobaudat!$D$5:$CK$165,Ökobaudat!$AF$1,0),"")</f>
        <v/>
      </c>
      <c r="AD21" s="136">
        <f>IF(ISNUMBER(VLOOKUP(J21,Ökobaudat!$D$5:$CK$165,Ökobaudat!$BF$1,0)),VLOOKUP(J21,Ökobaudat!$D$5:$CK$165,Ökobaudat!$BF$1,0),"")</f>
        <v>146</v>
      </c>
      <c r="AE21" s="136" t="str">
        <f>IF(ISTEXT(VLOOKUP(J21,Ökobaudat!$D$5:$CK$165,Ökobaudat!$BX$1,0)),VLOOKUP(J21,Ökobaudat!$D$5:$CK$165,Ökobaudat!$BX$1,0),"")</f>
        <v/>
      </c>
    </row>
    <row r="22" spans="2:31" ht="13.5" x14ac:dyDescent="0.2">
      <c r="B22" s="346" t="str">
        <f t="shared" si="2"/>
        <v>012</v>
      </c>
      <c r="C22" s="145" t="str">
        <f t="shared" si="3"/>
        <v>012-Brick (unfilled); 575 kg/m³; 0.5 W/(mK); 80 years</v>
      </c>
      <c r="D22" s="348" t="str">
        <f t="shared" si="6"/>
        <v>012</v>
      </c>
      <c r="E22" s="93">
        <v>0.5</v>
      </c>
      <c r="F22" s="142">
        <f t="shared" si="7"/>
        <v>387.5</v>
      </c>
      <c r="G22" s="142">
        <f t="shared" si="8"/>
        <v>113</v>
      </c>
      <c r="H22" s="94">
        <v>80</v>
      </c>
      <c r="I22" s="133"/>
      <c r="J22" s="133" t="s">
        <v>550</v>
      </c>
      <c r="K22" s="137">
        <f>VLOOKUP(J22,Ökobaudat!$D$5:$CK$165,Ökobaudat!$T$1,0)</f>
        <v>1</v>
      </c>
      <c r="L22" s="136" t="str">
        <f>VLOOKUP(J22,Ökobaudat!$D$5:$CK$165,Ökobaudat!$U$1,0)</f>
        <v>m3</v>
      </c>
      <c r="M22" s="93"/>
      <c r="N22" s="139" t="str">
        <f t="shared" si="4"/>
        <v/>
      </c>
      <c r="O22" s="135" t="str">
        <f>IF(ISNUMBER(VLOOKUP(J22,Ökobaudat!$D$5:$CK$165,Ökobaudat!$AA$1,0)),VLOOKUP(J22,Ökobaudat!$D$5:$CK$165,Ökobaudat!$AA$1,0),"")</f>
        <v/>
      </c>
      <c r="P22" s="93"/>
      <c r="Q22" s="135">
        <f>IF(ISNUMBER(VLOOKUP(J22,Ökobaudat!$D$5:$CK$160,Ökobaudat!$Z$1,0)),VLOOKUP(J22,Ökobaudat!$D$5:$CK$160,Ökobaudat!$Z$1,0),"")</f>
        <v>575</v>
      </c>
      <c r="R22" s="138"/>
      <c r="S22" s="140">
        <f t="shared" si="9"/>
        <v>575</v>
      </c>
      <c r="T22" s="124">
        <f t="shared" si="5"/>
        <v>1</v>
      </c>
      <c r="U22" s="124">
        <f>IF(Balance!$H$12=Data!$B$4,W22,V22)</f>
        <v>387.5</v>
      </c>
      <c r="V22" s="124">
        <f t="shared" si="10"/>
        <v>387.5</v>
      </c>
      <c r="W22" s="124">
        <f t="shared" si="11"/>
        <v>387.5</v>
      </c>
      <c r="X22" s="124">
        <f t="shared" si="12"/>
        <v>113</v>
      </c>
      <c r="Y22" s="136">
        <f>VLOOKUP(J22,Ökobaudat!$D$5:$CK$165,Ökobaudat!$AM$1,0)/$Y$7</f>
        <v>59.722222222222221</v>
      </c>
      <c r="Z22" s="136">
        <f>VLOOKUP(J22,Ökobaudat!$D$5:$CK$165,Ökobaudat!$AN$1,0)/$Y$7</f>
        <v>0</v>
      </c>
      <c r="AA22" s="136">
        <f>VLOOKUP(J22,Ökobaudat!$D$5:$CK$165,Ökobaudat!$AP$1,0)/$Y$7</f>
        <v>327.77777777777777</v>
      </c>
      <c r="AB22" s="136">
        <f>VLOOKUP(J22,Ökobaudat!$D$5:$CK$165,Ökobaudat!$AQ$1,0)/$Y$7</f>
        <v>0</v>
      </c>
      <c r="AC22" s="136" t="str">
        <f>IF(ISNUMBER(VLOOKUP(J22,Ökobaudat!$D$5:$CK$165,Ökobaudat!$AF$1,0)),VLOOKUP(J22,Ökobaudat!$D$5:$CK$165,Ökobaudat!$AF$1,0),"")</f>
        <v/>
      </c>
      <c r="AD22" s="136">
        <f>IF(ISNUMBER(VLOOKUP(J22,Ökobaudat!$D$5:$CK$165,Ökobaudat!$BF$1,0)),VLOOKUP(J22,Ökobaudat!$D$5:$CK$165,Ökobaudat!$BF$1,0),"")</f>
        <v>113</v>
      </c>
      <c r="AE22" s="136" t="str">
        <f>IF(ISTEXT(VLOOKUP(J22,Ökobaudat!$D$5:$CK$165,Ökobaudat!$BX$1,0)),VLOOKUP(J22,Ökobaudat!$D$5:$CK$165,Ökobaudat!$BX$1,0),"")</f>
        <v/>
      </c>
    </row>
    <row r="23" spans="2:31" ht="13.5" x14ac:dyDescent="0.2">
      <c r="B23" s="346" t="str">
        <f t="shared" si="2"/>
        <v>013</v>
      </c>
      <c r="C23" s="145" t="str">
        <f t="shared" si="3"/>
        <v>013-UD_Steel reinforced concrete 100 kg steel; 2469.42675159236 kg/m³; 0.07 W/(mK); 80 years</v>
      </c>
      <c r="D23" s="348" t="str">
        <f t="shared" si="6"/>
        <v>013</v>
      </c>
      <c r="E23" s="93">
        <v>7.0000000000000007E-2</v>
      </c>
      <c r="F23" s="142">
        <f t="shared" si="7"/>
        <v>741.54338287331916</v>
      </c>
      <c r="G23" s="142">
        <f t="shared" si="8"/>
        <v>309.22721974522295</v>
      </c>
      <c r="H23" s="94">
        <v>80</v>
      </c>
      <c r="I23" s="133"/>
      <c r="J23" s="133" t="s">
        <v>990</v>
      </c>
      <c r="K23" s="137">
        <f>VLOOKUP(J23,Ökobaudat!$D$5:$CK$165,Ökobaudat!$T$1,0)</f>
        <v>1</v>
      </c>
      <c r="L23" s="136" t="str">
        <f>VLOOKUP(J23,Ökobaudat!$D$5:$CK$165,Ökobaudat!$U$1,0)</f>
        <v>m3</v>
      </c>
      <c r="M23" s="93"/>
      <c r="N23" s="139" t="str">
        <f t="shared" si="4"/>
        <v/>
      </c>
      <c r="O23" s="135" t="str">
        <f>IF(ISNUMBER(VLOOKUP(J23,Ökobaudat!$D$5:$CK$165,Ökobaudat!$AA$1,0)),VLOOKUP(J23,Ökobaudat!$D$5:$CK$165,Ökobaudat!$AA$1,0),"")</f>
        <v/>
      </c>
      <c r="P23" s="93"/>
      <c r="Q23" s="135">
        <f>IF(ISNUMBER(VLOOKUP(J23,Ökobaudat!$D$5:$CK$160,Ökobaudat!$Z$1,0)),VLOOKUP(J23,Ökobaudat!$D$5:$CK$160,Ökobaudat!$Z$1,0),"")</f>
        <v>2469.4267515923566</v>
      </c>
      <c r="R23" s="138"/>
      <c r="S23" s="140">
        <f t="shared" si="9"/>
        <v>2469.4267515923566</v>
      </c>
      <c r="T23" s="124">
        <f t="shared" si="5"/>
        <v>1</v>
      </c>
      <c r="U23" s="124">
        <f>IF(Balance!$H$12=Data!$B$4,W23,V23)</f>
        <v>741.54338287331916</v>
      </c>
      <c r="V23" s="124">
        <f t="shared" si="10"/>
        <v>741.54338287331916</v>
      </c>
      <c r="W23" s="124">
        <f t="shared" si="11"/>
        <v>741.54338287331916</v>
      </c>
      <c r="X23" s="124">
        <f t="shared" si="12"/>
        <v>309.22721974522295</v>
      </c>
      <c r="Y23" s="136">
        <f>VLOOKUP(J23,Ökobaudat!$D$5:$CK$165,Ökobaudat!$AM$1,0)/$Y$7</f>
        <v>168.03661181882521</v>
      </c>
      <c r="Z23" s="136">
        <f>VLOOKUP(J23,Ökobaudat!$D$5:$CK$165,Ökobaudat!$AN$1,0)/$Y$7</f>
        <v>0</v>
      </c>
      <c r="AA23" s="136">
        <f>VLOOKUP(J23,Ökobaudat!$D$5:$CK$165,Ökobaudat!$AP$1,0)/$Y$7</f>
        <v>573.50677105449392</v>
      </c>
      <c r="AB23" s="136">
        <f>VLOOKUP(J23,Ökobaudat!$D$5:$CK$165,Ökobaudat!$AQ$1,0)/$Y$7</f>
        <v>0</v>
      </c>
      <c r="AC23" s="136">
        <f>IF(ISNUMBER(VLOOKUP(J23,Ökobaudat!$D$5:$CK$165,Ökobaudat!$AF$1,0)),VLOOKUP(J23,Ökobaudat!$D$5:$CK$165,Ökobaudat!$AF$1,0),"")</f>
        <v>309.22721974522295</v>
      </c>
      <c r="AD23" s="136" t="str">
        <f>IF(ISNUMBER(VLOOKUP(J23,Ökobaudat!$D$5:$CK$165,Ökobaudat!$BF$1,0)),VLOOKUP(J23,Ökobaudat!$D$5:$CK$165,Ökobaudat!$BF$1,0),"")</f>
        <v/>
      </c>
      <c r="AE23" s="136" t="str">
        <f>IF(ISTEXT(VLOOKUP(J23,Ökobaudat!$D$5:$CK$165,Ökobaudat!$BX$1,0)),VLOOKUP(J23,Ökobaudat!$D$5:$CK$165,Ökobaudat!$BX$1,0),"")</f>
        <v/>
      </c>
    </row>
    <row r="24" spans="2:31" s="391" customFormat="1" ht="13.5" x14ac:dyDescent="0.2">
      <c r="B24" s="377" t="str">
        <f t="shared" si="2"/>
        <v>014</v>
      </c>
      <c r="C24" s="378" t="str">
        <f>B24&amp;"-"&amp;IF(ISTEXT(I24),I24,J24&amp;"; "&amp;S24&amp;" kg/m³; "&amp;E24&amp;" W/(mK); "&amp;H24&amp;" years")</f>
        <v>014-BauderTHERMOFOL U / M; 100 kg/m³; 2.1 W/(mK); 45 years</v>
      </c>
      <c r="D24" s="379" t="str">
        <f t="shared" si="6"/>
        <v>014</v>
      </c>
      <c r="E24" s="380">
        <v>2.1</v>
      </c>
      <c r="F24" s="381">
        <f t="shared" si="7"/>
        <v>0</v>
      </c>
      <c r="G24" s="381">
        <f t="shared" si="8"/>
        <v>0</v>
      </c>
      <c r="H24" s="382">
        <v>45</v>
      </c>
      <c r="I24" s="383"/>
      <c r="J24" s="383" t="s">
        <v>1099</v>
      </c>
      <c r="K24" s="384">
        <f>VLOOKUP(J24,Ökobaudat!$D$5:$CK$165,Ökobaudat!$T$1,0)</f>
        <v>1</v>
      </c>
      <c r="L24" s="385" t="str">
        <f>VLOOKUP(J24,Ökobaudat!$D$5:$CK$165,Ökobaudat!$U$1,0)</f>
        <v>qm</v>
      </c>
      <c r="M24" s="380">
        <v>8</v>
      </c>
      <c r="N24" s="386">
        <f t="shared" si="4"/>
        <v>8.0000000000000002E-3</v>
      </c>
      <c r="O24" s="387" t="str">
        <f>IF(ISNUMBER(VLOOKUP(J24,Ökobaudat!$D$5:$CK$165,Ökobaudat!$AA$1,0)),VLOOKUP(J24,Ökobaudat!$D$5:$CK$165,Ökobaudat!$AA$1,0),"")</f>
        <v/>
      </c>
      <c r="P24" s="380">
        <v>50</v>
      </c>
      <c r="Q24" s="387" t="str">
        <f>IF(ISNUMBER(VLOOKUP(J24,Ökobaudat!$D$5:$CK$160,Ökobaudat!$Z$1,0)),VLOOKUP(J24,Ökobaudat!$D$5:$CK$160,Ökobaudat!$Z$1,0),"")</f>
        <v/>
      </c>
      <c r="R24" s="388">
        <v>100</v>
      </c>
      <c r="S24" s="389">
        <f t="shared" si="9"/>
        <v>100</v>
      </c>
      <c r="T24" s="390">
        <f t="shared" si="5"/>
        <v>1</v>
      </c>
      <c r="U24" s="390">
        <f>IF(Balance!$H$12=Data!$B$4,W24,V24)</f>
        <v>0</v>
      </c>
      <c r="V24" s="390">
        <f t="shared" si="10"/>
        <v>0</v>
      </c>
      <c r="W24" s="390">
        <f t="shared" si="11"/>
        <v>0</v>
      </c>
      <c r="X24" s="390">
        <f t="shared" si="12"/>
        <v>0</v>
      </c>
      <c r="Y24" s="385">
        <f>VLOOKUP(J24,Ökobaudat!$D$5:$CK$165,Ökobaudat!$AM$1,0)/$Y$7</f>
        <v>0</v>
      </c>
      <c r="Z24" s="385">
        <f>VLOOKUP(J24,Ökobaudat!$D$5:$CK$165,Ökobaudat!$AN$1,0)/$Y$7</f>
        <v>0</v>
      </c>
      <c r="AA24" s="385">
        <f>VLOOKUP(J24,Ökobaudat!$D$5:$CK$165,Ökobaudat!$AP$1,0)/$Y$7</f>
        <v>0</v>
      </c>
      <c r="AB24" s="385">
        <f>VLOOKUP(J24,Ökobaudat!$D$5:$CK$165,Ökobaudat!$AQ$1,0)/$Y$7</f>
        <v>0</v>
      </c>
      <c r="AC24" s="385" t="str">
        <f>IF(ISNUMBER(VLOOKUP(J24,Ökobaudat!$D$5:$CK$165,Ökobaudat!$AF$1,0)),VLOOKUP(J24,Ökobaudat!$D$5:$CK$165,Ökobaudat!$AF$1,0),"")</f>
        <v/>
      </c>
      <c r="AD24" s="385" t="str">
        <f>IF(ISNUMBER(VLOOKUP(J24,Ökobaudat!$D$5:$CK$165,Ökobaudat!$BF$1,0)),VLOOKUP(J24,Ökobaudat!$D$5:$CK$165,Ökobaudat!$BF$1,0),"")</f>
        <v/>
      </c>
      <c r="AE24" s="385" t="str">
        <f>IF(ISTEXT(VLOOKUP(J24,Ökobaudat!$D$5:$CK$165,Ökobaudat!$BX$1,0)),VLOOKUP(J24,Ökobaudat!$D$5:$CK$165,Ökobaudat!$BX$1,0),"")</f>
        <v/>
      </c>
    </row>
    <row r="25" spans="2:31" ht="13.5" x14ac:dyDescent="0.2">
      <c r="B25" s="346" t="str">
        <f t="shared" si="2"/>
        <v>015</v>
      </c>
      <c r="C25" s="145" t="str">
        <f t="shared" si="3"/>
        <v>015-Cement screed; 2400 kg/m³; 1.6 W/(mK); 60 years</v>
      </c>
      <c r="D25" s="348" t="str">
        <f t="shared" si="6"/>
        <v>015</v>
      </c>
      <c r="E25" s="93">
        <v>1.6</v>
      </c>
      <c r="F25" s="142">
        <f t="shared" si="7"/>
        <v>976.65624448978213</v>
      </c>
      <c r="G25" s="142">
        <f t="shared" si="8"/>
        <v>437.56214338358876</v>
      </c>
      <c r="H25" s="94">
        <v>60</v>
      </c>
      <c r="I25" s="133"/>
      <c r="J25" s="133" t="s">
        <v>934</v>
      </c>
      <c r="K25" s="137">
        <f>VLOOKUP(J25,Ökobaudat!$D$5:$CK$165,Ökobaudat!$T$1,0)</f>
        <v>1</v>
      </c>
      <c r="L25" s="136" t="str">
        <f>VLOOKUP(J25,Ökobaudat!$D$5:$CK$165,Ökobaudat!$U$1,0)</f>
        <v>kg</v>
      </c>
      <c r="M25" s="93"/>
      <c r="N25" s="139" t="str">
        <f t="shared" si="4"/>
        <v/>
      </c>
      <c r="O25" s="135" t="str">
        <f>IF(ISNUMBER(VLOOKUP(J25,Ökobaudat!$D$5:$CK$165,Ökobaudat!$AA$1,0)),VLOOKUP(J25,Ökobaudat!$D$5:$CK$165,Ökobaudat!$AA$1,0),"")</f>
        <v/>
      </c>
      <c r="P25" s="93"/>
      <c r="Q25" s="135">
        <f>IF(ISNUMBER(VLOOKUP(J25,Ökobaudat!$D$5:$CK$160,Ökobaudat!$Z$1,0)),VLOOKUP(J25,Ökobaudat!$D$5:$CK$160,Ökobaudat!$Z$1,0),"")</f>
        <v>2400</v>
      </c>
      <c r="R25" s="138"/>
      <c r="S25" s="140">
        <f t="shared" si="9"/>
        <v>2400</v>
      </c>
      <c r="T25" s="124">
        <f t="shared" si="5"/>
        <v>1</v>
      </c>
      <c r="U25" s="124">
        <f>IF(Balance!$H$12=Data!$B$4,W25,V25)</f>
        <v>0.40694010187074253</v>
      </c>
      <c r="V25" s="124">
        <f t="shared" si="10"/>
        <v>0.40694010187074253</v>
      </c>
      <c r="W25" s="124">
        <f t="shared" si="11"/>
        <v>0.40694010187074253</v>
      </c>
      <c r="X25" s="124">
        <f t="shared" si="12"/>
        <v>0.18231755974316199</v>
      </c>
      <c r="Y25" s="136">
        <f>VLOOKUP(J25,Ökobaudat!$D$5:$CK$165,Ökobaudat!$AM$1,0)/$Y$7</f>
        <v>8.2735443405420286E-2</v>
      </c>
      <c r="Z25" s="136">
        <f>VLOOKUP(J25,Ökobaudat!$D$5:$CK$165,Ökobaudat!$AN$1,0)/$Y$7</f>
        <v>0</v>
      </c>
      <c r="AA25" s="136">
        <f>VLOOKUP(J25,Ökobaudat!$D$5:$CK$165,Ökobaudat!$AP$1,0)/$Y$7</f>
        <v>0.32420465846532226</v>
      </c>
      <c r="AB25" s="136">
        <f>VLOOKUP(J25,Ökobaudat!$D$5:$CK$165,Ökobaudat!$AQ$1,0)/$Y$7</f>
        <v>0</v>
      </c>
      <c r="AC25" s="136" t="str">
        <f>IF(ISNUMBER(VLOOKUP(J25,Ökobaudat!$D$5:$CK$165,Ökobaudat!$AF$1,0)),VLOOKUP(J25,Ökobaudat!$D$5:$CK$165,Ökobaudat!$AF$1,0),"")</f>
        <v/>
      </c>
      <c r="AD25" s="136">
        <f>IF(ISNUMBER(VLOOKUP(J25,Ökobaudat!$D$5:$CK$165,Ökobaudat!$BF$1,0)),VLOOKUP(J25,Ökobaudat!$D$5:$CK$165,Ökobaudat!$BF$1,0),"")</f>
        <v>0.18231755974316199</v>
      </c>
      <c r="AE25" s="136" t="str">
        <f>IF(ISTEXT(VLOOKUP(J25,Ökobaudat!$D$5:$CK$165,Ökobaudat!$BX$1,0)),VLOOKUP(J25,Ökobaudat!$D$5:$CK$165,Ökobaudat!$BX$1,0),"")</f>
        <v/>
      </c>
    </row>
    <row r="26" spans="2:31" ht="13.5" x14ac:dyDescent="0.2">
      <c r="B26" s="346" t="str">
        <f t="shared" si="2"/>
        <v>016</v>
      </c>
      <c r="C26" s="145" t="str">
        <f t="shared" si="3"/>
        <v>016-Gypsum interior plaster; 900 kg/m³; 0.54 W/(mK); 40 years</v>
      </c>
      <c r="D26" s="348" t="str">
        <f t="shared" si="6"/>
        <v>016</v>
      </c>
      <c r="E26" s="93">
        <v>0.54</v>
      </c>
      <c r="F26" s="142">
        <f t="shared" si="7"/>
        <v>615.62380504232146</v>
      </c>
      <c r="G26" s="142">
        <f t="shared" si="8"/>
        <v>118.443629056085</v>
      </c>
      <c r="H26" s="94">
        <v>40</v>
      </c>
      <c r="I26" s="133"/>
      <c r="J26" s="133" t="s">
        <v>529</v>
      </c>
      <c r="K26" s="137">
        <f>VLOOKUP(J26,Ökobaudat!$D$5:$CK$165,Ökobaudat!$T$1,0)</f>
        <v>1</v>
      </c>
      <c r="L26" s="136" t="str">
        <f>VLOOKUP(J26,Ökobaudat!$D$5:$CK$165,Ökobaudat!$U$1,0)</f>
        <v>m3</v>
      </c>
      <c r="M26" s="93"/>
      <c r="N26" s="139" t="str">
        <f t="shared" si="4"/>
        <v/>
      </c>
      <c r="O26" s="135" t="str">
        <f>IF(ISNUMBER(VLOOKUP(J26,Ökobaudat!$D$5:$CK$165,Ökobaudat!$AA$1,0)),VLOOKUP(J26,Ökobaudat!$D$5:$CK$165,Ökobaudat!$AA$1,0),"")</f>
        <v/>
      </c>
      <c r="P26" s="93"/>
      <c r="Q26" s="135">
        <f>IF(ISNUMBER(VLOOKUP(J26,Ökobaudat!$D$5:$CK$160,Ökobaudat!$Z$1,0)),VLOOKUP(J26,Ökobaudat!$D$5:$CK$160,Ökobaudat!$Z$1,0),"")</f>
        <v>900</v>
      </c>
      <c r="R26" s="138"/>
      <c r="S26" s="140">
        <f t="shared" si="9"/>
        <v>900</v>
      </c>
      <c r="T26" s="124">
        <f t="shared" si="5"/>
        <v>1</v>
      </c>
      <c r="U26" s="124">
        <f>IF(Balance!$H$12=Data!$B$4,W26,V26)</f>
        <v>615.62380504232146</v>
      </c>
      <c r="V26" s="124">
        <f t="shared" si="10"/>
        <v>615.62380504232146</v>
      </c>
      <c r="W26" s="124">
        <f t="shared" si="11"/>
        <v>615.62380504232146</v>
      </c>
      <c r="X26" s="124">
        <f t="shared" si="12"/>
        <v>118.443629056085</v>
      </c>
      <c r="Y26" s="136">
        <f>VLOOKUP(J26,Ökobaudat!$D$5:$CK$165,Ökobaudat!$AM$1,0)/$Y$7</f>
        <v>106.53931562384639</v>
      </c>
      <c r="Z26" s="136">
        <f>VLOOKUP(J26,Ökobaudat!$D$5:$CK$165,Ökobaudat!$AN$1,0)/$Y$7</f>
        <v>0</v>
      </c>
      <c r="AA26" s="136">
        <f>VLOOKUP(J26,Ökobaudat!$D$5:$CK$165,Ökobaudat!$AP$1,0)/$Y$7</f>
        <v>509.08448941847502</v>
      </c>
      <c r="AB26" s="136">
        <f>VLOOKUP(J26,Ökobaudat!$D$5:$CK$165,Ökobaudat!$AQ$1,0)/$Y$7</f>
        <v>0</v>
      </c>
      <c r="AC26" s="136" t="str">
        <f>IF(ISNUMBER(VLOOKUP(J26,Ökobaudat!$D$5:$CK$165,Ökobaudat!$AF$1,0)),VLOOKUP(J26,Ökobaudat!$D$5:$CK$165,Ökobaudat!$AF$1,0),"")</f>
        <v/>
      </c>
      <c r="AD26" s="136">
        <f>IF(ISNUMBER(VLOOKUP(J26,Ökobaudat!$D$5:$CK$165,Ökobaudat!$BF$1,0)),VLOOKUP(J26,Ökobaudat!$D$5:$CK$165,Ökobaudat!$BF$1,0),"")</f>
        <v>118.443629056085</v>
      </c>
      <c r="AE26" s="136" t="str">
        <f>IF(ISTEXT(VLOOKUP(J26,Ökobaudat!$D$5:$CK$165,Ökobaudat!$BX$1,0)),VLOOKUP(J26,Ökobaudat!$D$5:$CK$165,Ökobaudat!$BX$1,0),"")</f>
        <v/>
      </c>
    </row>
    <row r="27" spans="2:31" ht="13.5" x14ac:dyDescent="0.2">
      <c r="B27" s="346" t="str">
        <f t="shared" si="2"/>
        <v>017</v>
      </c>
      <c r="C27" s="145" t="str">
        <f t="shared" si="3"/>
        <v>017-Lime-cement plaster; 1800 kg/m³; 1 W/(mK); 40 years</v>
      </c>
      <c r="D27" s="348" t="str">
        <f t="shared" si="6"/>
        <v>017</v>
      </c>
      <c r="E27" s="93">
        <v>1</v>
      </c>
      <c r="F27" s="142">
        <f t="shared" si="7"/>
        <v>905.22046069906946</v>
      </c>
      <c r="G27" s="142">
        <f t="shared" si="8"/>
        <v>354.91241395986202</v>
      </c>
      <c r="H27" s="94">
        <v>40</v>
      </c>
      <c r="I27" s="133"/>
      <c r="J27" s="133" t="s">
        <v>523</v>
      </c>
      <c r="K27" s="137">
        <f>VLOOKUP(J27,Ökobaudat!$D$5:$CK$165,Ökobaudat!$T$1,0)</f>
        <v>1</v>
      </c>
      <c r="L27" s="136" t="str">
        <f>VLOOKUP(J27,Ökobaudat!$D$5:$CK$165,Ökobaudat!$U$1,0)</f>
        <v>m3</v>
      </c>
      <c r="M27" s="93"/>
      <c r="N27" s="139" t="str">
        <f t="shared" si="4"/>
        <v/>
      </c>
      <c r="O27" s="135" t="str">
        <f>IF(ISNUMBER(VLOOKUP(J27,Ökobaudat!$D$5:$CK$165,Ökobaudat!$AA$1,0)),VLOOKUP(J27,Ökobaudat!$D$5:$CK$165,Ökobaudat!$AA$1,0),"")</f>
        <v/>
      </c>
      <c r="P27" s="93"/>
      <c r="Q27" s="135">
        <f>IF(ISNUMBER(VLOOKUP(J27,Ökobaudat!$D$5:$CK$160,Ökobaudat!$Z$1,0)),VLOOKUP(J27,Ökobaudat!$D$5:$CK$160,Ökobaudat!$Z$1,0),"")</f>
        <v>1800</v>
      </c>
      <c r="R27" s="138"/>
      <c r="S27" s="140">
        <f t="shared" si="9"/>
        <v>1800</v>
      </c>
      <c r="T27" s="124">
        <f t="shared" si="5"/>
        <v>1</v>
      </c>
      <c r="U27" s="124">
        <f>IF(Balance!$H$12=Data!$B$4,W27,V27)</f>
        <v>905.22046069906946</v>
      </c>
      <c r="V27" s="124">
        <f t="shared" si="10"/>
        <v>905.22046069906946</v>
      </c>
      <c r="W27" s="124">
        <f t="shared" si="11"/>
        <v>905.22046069906946</v>
      </c>
      <c r="X27" s="124">
        <f t="shared" si="12"/>
        <v>354.91241395986202</v>
      </c>
      <c r="Y27" s="136">
        <f>VLOOKUP(J27,Ökobaudat!$D$5:$CK$165,Ökobaudat!$AM$1,0)/$Y$7</f>
        <v>327.49601933044727</v>
      </c>
      <c r="Z27" s="136">
        <f>VLOOKUP(J27,Ökobaudat!$D$5:$CK$165,Ökobaudat!$AN$1,0)/$Y$7</f>
        <v>0</v>
      </c>
      <c r="AA27" s="136">
        <f>VLOOKUP(J27,Ökobaudat!$D$5:$CK$165,Ökobaudat!$AP$1,0)/$Y$7</f>
        <v>577.72444136862214</v>
      </c>
      <c r="AB27" s="136">
        <f>VLOOKUP(J27,Ökobaudat!$D$5:$CK$165,Ökobaudat!$AQ$1,0)/$Y$7</f>
        <v>0</v>
      </c>
      <c r="AC27" s="136" t="str">
        <f>IF(ISNUMBER(VLOOKUP(J27,Ökobaudat!$D$5:$CK$165,Ökobaudat!$AF$1,0)),VLOOKUP(J27,Ökobaudat!$D$5:$CK$165,Ökobaudat!$AF$1,0),"")</f>
        <v/>
      </c>
      <c r="AD27" s="136">
        <f>IF(ISNUMBER(VLOOKUP(J27,Ökobaudat!$D$5:$CK$165,Ökobaudat!$BF$1,0)),VLOOKUP(J27,Ökobaudat!$D$5:$CK$165,Ökobaudat!$BF$1,0),"")</f>
        <v>354.91241395986202</v>
      </c>
      <c r="AE27" s="136" t="str">
        <f>IF(ISTEXT(VLOOKUP(J27,Ökobaudat!$D$5:$CK$165,Ökobaudat!$BX$1,0)),VLOOKUP(J27,Ökobaudat!$D$5:$CK$165,Ökobaudat!$BX$1,0),"")</f>
        <v/>
      </c>
    </row>
    <row r="28" spans="2:31" ht="13.5" x14ac:dyDescent="0.2">
      <c r="B28" s="346" t="str">
        <f t="shared" si="2"/>
        <v>018</v>
      </c>
      <c r="C28" s="145" t="str">
        <f t="shared" si="3"/>
        <v>018-Clay plaster; 900 kg/m³; 0.91 W/(mK); 40 years</v>
      </c>
      <c r="D28" s="348" t="str">
        <f t="shared" si="6"/>
        <v>018</v>
      </c>
      <c r="E28" s="93">
        <v>0.91</v>
      </c>
      <c r="F28" s="142">
        <f t="shared" si="7"/>
        <v>317.19333333333327</v>
      </c>
      <c r="G28" s="142">
        <f t="shared" si="8"/>
        <v>93.1477</v>
      </c>
      <c r="H28" s="94">
        <v>40</v>
      </c>
      <c r="I28" s="133"/>
      <c r="J28" s="133" t="s">
        <v>1006</v>
      </c>
      <c r="K28" s="137">
        <f>VLOOKUP(J28,Ökobaudat!$D$5:$CK$165,Ökobaudat!$T$1,0)</f>
        <v>1</v>
      </c>
      <c r="L28" s="136" t="str">
        <f>VLOOKUP(J28,Ökobaudat!$D$5:$CK$165,Ökobaudat!$U$1,0)</f>
        <v>m3</v>
      </c>
      <c r="M28" s="93"/>
      <c r="N28" s="139" t="str">
        <f t="shared" si="4"/>
        <v/>
      </c>
      <c r="O28" s="135" t="str">
        <f>IF(ISNUMBER(VLOOKUP(J28,Ökobaudat!$D$5:$CK$165,Ökobaudat!$AA$1,0)),VLOOKUP(J28,Ökobaudat!$D$5:$CK$165,Ökobaudat!$AA$1,0),"")</f>
        <v/>
      </c>
      <c r="P28" s="93"/>
      <c r="Q28" s="135">
        <f>IF(ISNUMBER(VLOOKUP(J28,Ökobaudat!$D$5:$CK$160,Ökobaudat!$Z$1,0)),VLOOKUP(J28,Ökobaudat!$D$5:$CK$160,Ökobaudat!$Z$1,0),"")</f>
        <v>900</v>
      </c>
      <c r="R28" s="138"/>
      <c r="S28" s="140">
        <f t="shared" si="9"/>
        <v>900</v>
      </c>
      <c r="T28" s="124">
        <f t="shared" si="5"/>
        <v>1</v>
      </c>
      <c r="U28" s="124">
        <f>IF(Balance!$H$12=Data!$B$4,W28,V28)</f>
        <v>317.19333333333327</v>
      </c>
      <c r="V28" s="124">
        <f t="shared" si="10"/>
        <v>317.19333333333327</v>
      </c>
      <c r="W28" s="124">
        <f t="shared" si="11"/>
        <v>317.19333333333327</v>
      </c>
      <c r="X28" s="124">
        <f t="shared" si="12"/>
        <v>93.1477</v>
      </c>
      <c r="Y28" s="136">
        <f>VLOOKUP(J28,Ökobaudat!$D$5:$CK$165,Ökobaudat!$AM$1,0)/$Y$7</f>
        <v>53.856944444444437</v>
      </c>
      <c r="Z28" s="136">
        <f>VLOOKUP(J28,Ökobaudat!$D$5:$CK$165,Ökobaudat!$AN$1,0)/$Y$7</f>
        <v>0</v>
      </c>
      <c r="AA28" s="136">
        <f>VLOOKUP(J28,Ökobaudat!$D$5:$CK$165,Ökobaudat!$AP$1,0)/$Y$7</f>
        <v>263.33638888888885</v>
      </c>
      <c r="AB28" s="136">
        <f>VLOOKUP(J28,Ökobaudat!$D$5:$CK$165,Ökobaudat!$AQ$1,0)/$Y$7</f>
        <v>0</v>
      </c>
      <c r="AC28" s="136">
        <f>IF(ISNUMBER(VLOOKUP(J28,Ökobaudat!$D$5:$CK$165,Ökobaudat!$AF$1,0)),VLOOKUP(J28,Ökobaudat!$D$5:$CK$165,Ökobaudat!$AF$1,0),"")</f>
        <v>93.1477</v>
      </c>
      <c r="AD28" s="136" t="str">
        <f>IF(ISNUMBER(VLOOKUP(J28,Ökobaudat!$D$5:$CK$165,Ökobaudat!$BF$1,0)),VLOOKUP(J28,Ökobaudat!$D$5:$CK$165,Ökobaudat!$BF$1,0),"")</f>
        <v/>
      </c>
      <c r="AE28" s="136" t="str">
        <f>IF(ISTEXT(VLOOKUP(J28,Ökobaudat!$D$5:$CK$165,Ökobaudat!$BX$1,0)),VLOOKUP(J28,Ökobaudat!$D$5:$CK$165,Ökobaudat!$BX$1,0),"")</f>
        <v/>
      </c>
    </row>
    <row r="29" spans="2:31" ht="13.5" x14ac:dyDescent="0.2">
      <c r="B29" s="346" t="str">
        <f t="shared" si="2"/>
        <v>019</v>
      </c>
      <c r="C29" s="145" t="str">
        <f t="shared" si="3"/>
        <v>019-Glue for ETICS</v>
      </c>
      <c r="D29" s="348" t="str">
        <f t="shared" si="6"/>
        <v>019</v>
      </c>
      <c r="E29" s="93">
        <v>0.7</v>
      </c>
      <c r="F29" s="142">
        <f t="shared" si="7"/>
        <v>496.23211201094273</v>
      </c>
      <c r="G29" s="142">
        <f t="shared" si="8"/>
        <v>103.94883076360401</v>
      </c>
      <c r="H29" s="94">
        <v>40</v>
      </c>
      <c r="I29" s="133" t="s">
        <v>775</v>
      </c>
      <c r="J29" s="133" t="s">
        <v>770</v>
      </c>
      <c r="K29" s="137">
        <f>VLOOKUP(J29,Ökobaudat!$D$5:$CK$165,Ökobaudat!$T$1,0)</f>
        <v>1</v>
      </c>
      <c r="L29" s="136" t="str">
        <f>VLOOKUP(J29,Ökobaudat!$D$5:$CK$165,Ökobaudat!$U$1,0)</f>
        <v>kg</v>
      </c>
      <c r="M29" s="93"/>
      <c r="N29" s="139" t="str">
        <f t="shared" si="4"/>
        <v/>
      </c>
      <c r="O29" s="135" t="str">
        <f>IF(ISNUMBER(VLOOKUP(J29,Ökobaudat!$D$5:$CK$165,Ökobaudat!$AA$1,0)),VLOOKUP(J29,Ökobaudat!$D$5:$CK$165,Ökobaudat!$AA$1,0),"")</f>
        <v/>
      </c>
      <c r="P29" s="138"/>
      <c r="Q29" s="135">
        <f>IF(ISNUMBER(VLOOKUP(J29,Ökobaudat!$D$5:$CK$160,Ökobaudat!$Z$1,0)),VLOOKUP(J29,Ökobaudat!$D$5:$CK$160,Ökobaudat!$Z$1,0),"")</f>
        <v>1000</v>
      </c>
      <c r="R29" s="138"/>
      <c r="S29" s="140">
        <f t="shared" si="9"/>
        <v>1000</v>
      </c>
      <c r="T29" s="124">
        <f t="shared" si="5"/>
        <v>1</v>
      </c>
      <c r="U29" s="124">
        <f>IF(Balance!$H$12=Data!$B$4,W29,V29)</f>
        <v>0.49623211201094275</v>
      </c>
      <c r="V29" s="124">
        <f t="shared" si="10"/>
        <v>0.49623211201094275</v>
      </c>
      <c r="W29" s="124">
        <f t="shared" si="11"/>
        <v>0.49623211201094275</v>
      </c>
      <c r="X29" s="124">
        <f t="shared" si="12"/>
        <v>0.10394883076360401</v>
      </c>
      <c r="Y29" s="136">
        <f>VLOOKUP(J29,Ökobaudat!$D$5:$CK$165,Ökobaudat!$AM$1,0)/$Y$7</f>
        <v>4.7394509622998328E-2</v>
      </c>
      <c r="Z29" s="136">
        <f>VLOOKUP(J29,Ökobaudat!$D$5:$CK$165,Ökobaudat!$AN$1,0)/$Y$7</f>
        <v>0</v>
      </c>
      <c r="AA29" s="136">
        <f>VLOOKUP(J29,Ökobaudat!$D$5:$CK$165,Ökobaudat!$AP$1,0)/$Y$7</f>
        <v>0.4488376023879444</v>
      </c>
      <c r="AB29" s="136">
        <f>VLOOKUP(J29,Ökobaudat!$D$5:$CK$165,Ökobaudat!$AQ$1,0)/$Y$7</f>
        <v>0</v>
      </c>
      <c r="AC29" s="136" t="str">
        <f>IF(ISNUMBER(VLOOKUP(J29,Ökobaudat!$D$5:$CK$165,Ökobaudat!$AF$1,0)),VLOOKUP(J29,Ökobaudat!$D$5:$CK$165,Ökobaudat!$AF$1,0),"")</f>
        <v/>
      </c>
      <c r="AD29" s="136">
        <f>IF(ISNUMBER(VLOOKUP(J29,Ökobaudat!$D$5:$CK$165,Ökobaudat!$BF$1,0)),VLOOKUP(J29,Ökobaudat!$D$5:$CK$165,Ökobaudat!$BF$1,0),"")</f>
        <v>0.10394883076360401</v>
      </c>
      <c r="AE29" s="136" t="str">
        <f>IF(ISTEXT(VLOOKUP(J29,Ökobaudat!$D$5:$CK$165,Ökobaudat!$BX$1,0)),VLOOKUP(J29,Ökobaudat!$D$5:$CK$165,Ökobaudat!$BX$1,0),"")</f>
        <v/>
      </c>
    </row>
    <row r="30" spans="2:31" ht="13.5" x14ac:dyDescent="0.2">
      <c r="B30" s="346" t="str">
        <f t="shared" si="2"/>
        <v>020</v>
      </c>
      <c r="C30" s="145" t="str">
        <f t="shared" si="3"/>
        <v>020-Gypsum fibreboard (thickness 0.01 m); 1250 kg/m³; 0.35 W/(mK); 40 years</v>
      </c>
      <c r="D30" s="348" t="str">
        <f t="shared" si="6"/>
        <v>020</v>
      </c>
      <c r="E30" s="93">
        <v>0.35</v>
      </c>
      <c r="F30" s="142">
        <f t="shared" si="7"/>
        <v>1436.8058333333333</v>
      </c>
      <c r="G30" s="142">
        <f t="shared" si="8"/>
        <v>318.61199999999997</v>
      </c>
      <c r="H30" s="94">
        <v>40</v>
      </c>
      <c r="I30" s="133"/>
      <c r="J30" s="133" t="s">
        <v>994</v>
      </c>
      <c r="K30" s="137">
        <f>VLOOKUP(J30,Ökobaudat!$D$5:$CK$165,Ökobaudat!$T$1,0)</f>
        <v>1</v>
      </c>
      <c r="L30" s="136" t="str">
        <f>VLOOKUP(J30,Ökobaudat!$D$5:$CK$165,Ökobaudat!$U$1,0)</f>
        <v>qm</v>
      </c>
      <c r="M30" s="79">
        <v>10</v>
      </c>
      <c r="N30" s="139">
        <f t="shared" si="4"/>
        <v>0.01</v>
      </c>
      <c r="O30" s="135" t="str">
        <f>IF(ISNUMBER(VLOOKUP(J30,Ökobaudat!$D$5:$CK$165,Ökobaudat!$AA$1,0)),VLOOKUP(J30,Ökobaudat!$D$5:$CK$165,Ökobaudat!$AA$1,0),"")</f>
        <v/>
      </c>
      <c r="P30" s="93"/>
      <c r="Q30" s="135" t="str">
        <f>IF(ISNUMBER(VLOOKUP(J30,Ökobaudat!$D$5:$CK$160,Ökobaudat!$Z$1,0)),VLOOKUP(J30,Ökobaudat!$D$5:$CK$160,Ökobaudat!$Z$1,0),"")</f>
        <v/>
      </c>
      <c r="R30" s="138">
        <v>1250</v>
      </c>
      <c r="S30" s="140">
        <f t="shared" si="9"/>
        <v>1250</v>
      </c>
      <c r="T30" s="124">
        <f>IF(ISNUMBER(S30),IF(ISNUMBER(Q30),S30/Q30,1),1)</f>
        <v>1</v>
      </c>
      <c r="U30" s="124">
        <f>IF(Balance!$H$12=Data!$B$4,W30,V30)</f>
        <v>14.368058333333334</v>
      </c>
      <c r="V30" s="124">
        <f t="shared" si="10"/>
        <v>14.368058333333334</v>
      </c>
      <c r="W30" s="124">
        <f t="shared" si="11"/>
        <v>18.951391666666666</v>
      </c>
      <c r="X30" s="124">
        <f t="shared" si="12"/>
        <v>3.1861199999999998</v>
      </c>
      <c r="Y30" s="136">
        <f>VLOOKUP(J30,Ökobaudat!$D$5:$CK$165,Ökobaudat!$AM$1,0)/$Y$7</f>
        <v>0.7543361111111111</v>
      </c>
      <c r="Z30" s="136">
        <f>VLOOKUP(J30,Ökobaudat!$D$5:$CK$165,Ökobaudat!$AN$1,0)/$Y$7</f>
        <v>4.583333333333333</v>
      </c>
      <c r="AA30" s="136">
        <f>VLOOKUP(J30,Ökobaudat!$D$5:$CK$165,Ökobaudat!$AP$1,0)/$Y$7</f>
        <v>13.613722222222222</v>
      </c>
      <c r="AB30" s="136">
        <f>VLOOKUP(J30,Ökobaudat!$D$5:$CK$165,Ökobaudat!$AQ$1,0)/$Y$7</f>
        <v>0</v>
      </c>
      <c r="AC30" s="136">
        <f>IF(ISNUMBER(VLOOKUP(J30,Ökobaudat!$D$5:$CK$165,Ökobaudat!$AF$1,0)),VLOOKUP(J30,Ökobaudat!$D$5:$CK$165,Ökobaudat!$AF$1,0),"")</f>
        <v>3.1861199999999998</v>
      </c>
      <c r="AD30" s="136" t="str">
        <f>IF(ISNUMBER(VLOOKUP(J30,Ökobaudat!$D$5:$CK$165,Ökobaudat!$BF$1,0)),VLOOKUP(J30,Ökobaudat!$D$5:$CK$165,Ökobaudat!$BF$1,0),"")</f>
        <v/>
      </c>
      <c r="AE30" s="136" t="str">
        <f>IF(ISTEXT(VLOOKUP(J30,Ökobaudat!$D$5:$CK$165,Ökobaudat!$BX$1,0)),VLOOKUP(J30,Ökobaudat!$D$5:$CK$165,Ökobaudat!$BX$1,0),"")</f>
        <v/>
      </c>
    </row>
    <row r="31" spans="2:31" ht="13.5" x14ac:dyDescent="0.2">
      <c r="B31" s="346" t="str">
        <f t="shared" si="2"/>
        <v>021</v>
      </c>
      <c r="C31" s="145" t="str">
        <f t="shared" si="3"/>
        <v>021-;  kg/m³;  W/(mK);  years</v>
      </c>
      <c r="D31" s="348" t="str">
        <f t="shared" si="6"/>
        <v>021</v>
      </c>
      <c r="E31" s="93"/>
      <c r="F31" s="142" t="e">
        <f t="shared" si="7"/>
        <v>#N/A</v>
      </c>
      <c r="G31" s="142" t="e">
        <f t="shared" si="8"/>
        <v>#N/A</v>
      </c>
      <c r="H31" s="94"/>
      <c r="I31" s="133"/>
      <c r="J31" s="133"/>
      <c r="K31" s="137" t="e">
        <f>VLOOKUP(J31,Ökobaudat!$D$5:$CK$165,Ökobaudat!$T$1,0)</f>
        <v>#N/A</v>
      </c>
      <c r="L31" s="136" t="e">
        <f>VLOOKUP(J31,Ökobaudat!$D$5:$CK$165,Ökobaudat!$U$1,0)</f>
        <v>#N/A</v>
      </c>
      <c r="M31" s="79"/>
      <c r="N31" s="139" t="str">
        <f t="shared" si="4"/>
        <v/>
      </c>
      <c r="O31" s="135" t="str">
        <f>IF(ISNUMBER(VLOOKUP(J31,Ökobaudat!$D$5:$CK$165,Ökobaudat!$AA$1,0)),VLOOKUP(J31,Ökobaudat!$D$5:$CK$165,Ökobaudat!$AA$1,0),"")</f>
        <v/>
      </c>
      <c r="P31" s="93"/>
      <c r="Q31" s="135" t="str">
        <f>IF(ISNUMBER(VLOOKUP(J31,Ökobaudat!$D$5:$CK$160,Ökobaudat!$Z$1,0)),VLOOKUP(J31,Ökobaudat!$D$5:$CK$160,Ökobaudat!$Z$1,0),"")</f>
        <v/>
      </c>
      <c r="R31" s="138"/>
      <c r="S31" s="140" t="str">
        <f t="shared" si="9"/>
        <v/>
      </c>
      <c r="T31" s="124">
        <f t="shared" ref="T31:T94" si="13">IF(ISNUMBER(S31),IF(ISNUMBER(Q31),S31/Q31,1),1)</f>
        <v>1</v>
      </c>
      <c r="U31" s="124" t="e">
        <f>IF(Balance!$H$12=Data!$B$4,W31,V31)</f>
        <v>#N/A</v>
      </c>
      <c r="V31" s="124" t="e">
        <f t="shared" si="10"/>
        <v>#N/A</v>
      </c>
      <c r="W31" s="124" t="e">
        <f t="shared" si="11"/>
        <v>#N/A</v>
      </c>
      <c r="X31" s="124">
        <f t="shared" si="12"/>
        <v>0</v>
      </c>
      <c r="Y31" s="136" t="e">
        <f>VLOOKUP(J31,Ökobaudat!$D$5:$CK$165,Ökobaudat!$AM$1,0)/$Y$7</f>
        <v>#N/A</v>
      </c>
      <c r="Z31" s="136" t="e">
        <f>VLOOKUP(J31,Ökobaudat!$D$5:$CK$165,Ökobaudat!$AN$1,0)/$Y$7</f>
        <v>#N/A</v>
      </c>
      <c r="AA31" s="136" t="e">
        <f>VLOOKUP(J31,Ökobaudat!$D$5:$CK$165,Ökobaudat!$AP$1,0)/$Y$7</f>
        <v>#N/A</v>
      </c>
      <c r="AB31" s="136" t="e">
        <f>VLOOKUP(J31,Ökobaudat!$D$5:$CK$165,Ökobaudat!$AQ$1,0)/$Y$7</f>
        <v>#N/A</v>
      </c>
      <c r="AC31" s="136" t="str">
        <f>IF(ISNUMBER(VLOOKUP(J31,Ökobaudat!$D$5:$CK$165,Ökobaudat!$AF$1,0)),VLOOKUP(J31,Ökobaudat!$D$5:$CK$165,Ökobaudat!$AF$1,0),"")</f>
        <v/>
      </c>
      <c r="AD31" s="136" t="str">
        <f>IF(ISNUMBER(VLOOKUP(J31,Ökobaudat!$D$5:$CK$165,Ökobaudat!$BF$1,0)),VLOOKUP(J31,Ökobaudat!$D$5:$CK$165,Ökobaudat!$BF$1,0),"")</f>
        <v/>
      </c>
      <c r="AE31" s="136" t="str">
        <f>IF(ISTEXT(VLOOKUP(J31,Ökobaudat!$D$5:$CK$165,Ökobaudat!$BX$1,0)),VLOOKUP(J31,Ökobaudat!$D$5:$CK$165,Ökobaudat!$BX$1,0),"")</f>
        <v/>
      </c>
    </row>
    <row r="32" spans="2:31" ht="13.5" x14ac:dyDescent="0.2">
      <c r="B32" s="346" t="str">
        <f t="shared" si="2"/>
        <v>022</v>
      </c>
      <c r="C32" s="145" t="str">
        <f t="shared" si="3"/>
        <v>022-Solid construction timber (generic, 15% moisture / 13% H2O content); 529 kg/m³; 0.13 W/(mK); 80 years</v>
      </c>
      <c r="D32" s="348" t="str">
        <f t="shared" si="6"/>
        <v>022</v>
      </c>
      <c r="E32" s="93">
        <v>0.13</v>
      </c>
      <c r="F32" s="142">
        <f t="shared" si="7"/>
        <v>1434.0932694222695</v>
      </c>
      <c r="G32" s="142">
        <f t="shared" si="8"/>
        <v>-636.14449532812898</v>
      </c>
      <c r="H32" s="94">
        <v>80</v>
      </c>
      <c r="I32" s="133"/>
      <c r="J32" s="133" t="s">
        <v>513</v>
      </c>
      <c r="K32" s="137">
        <f>VLOOKUP(J32,Ökobaudat!$D$5:$CK$165,Ökobaudat!$T$1,0)</f>
        <v>1</v>
      </c>
      <c r="L32" s="136" t="str">
        <f>VLOOKUP(J32,Ökobaudat!$D$5:$CK$165,Ökobaudat!$U$1,0)</f>
        <v>m3</v>
      </c>
      <c r="M32" s="93"/>
      <c r="N32" s="139" t="str">
        <f t="shared" si="4"/>
        <v/>
      </c>
      <c r="O32" s="135" t="str">
        <f>IF(ISNUMBER(VLOOKUP(J32,Ökobaudat!$D$5:$CK$165,Ökobaudat!$AA$1,0)),VLOOKUP(J32,Ökobaudat!$D$5:$CK$165,Ökobaudat!$AA$1,0),"")</f>
        <v/>
      </c>
      <c r="P32" s="93"/>
      <c r="Q32" s="135">
        <f>IF(ISNUMBER(VLOOKUP(J32,Ökobaudat!$D$5:$CK$160,Ökobaudat!$Z$1,0)),VLOOKUP(J32,Ökobaudat!$D$5:$CK$160,Ökobaudat!$Z$1,0),"")</f>
        <v>529</v>
      </c>
      <c r="R32" s="138"/>
      <c r="S32" s="140">
        <f t="shared" si="9"/>
        <v>529</v>
      </c>
      <c r="T32" s="124">
        <f t="shared" si="13"/>
        <v>1</v>
      </c>
      <c r="U32" s="124">
        <f>IF(Balance!$H$12=Data!$B$4,W32,V32)</f>
        <v>1434.0932694222695</v>
      </c>
      <c r="V32" s="124">
        <f t="shared" si="10"/>
        <v>1434.0932694222695</v>
      </c>
      <c r="W32" s="124">
        <f t="shared" si="11"/>
        <v>4079.0932694222697</v>
      </c>
      <c r="X32" s="124">
        <f t="shared" si="12"/>
        <v>-636.14449532812898</v>
      </c>
      <c r="Y32" s="136">
        <f>VLOOKUP(J32,Ökobaudat!$D$5:$CK$165,Ökobaudat!$AM$1,0)/$Y$7</f>
        <v>686.36726273180273</v>
      </c>
      <c r="Z32" s="136">
        <f>VLOOKUP(J32,Ökobaudat!$D$5:$CK$165,Ökobaudat!$AN$1,0)/$Y$7</f>
        <v>2645</v>
      </c>
      <c r="AA32" s="136">
        <f>VLOOKUP(J32,Ökobaudat!$D$5:$CK$165,Ökobaudat!$AP$1,0)/$Y$7</f>
        <v>747.72600669046676</v>
      </c>
      <c r="AB32" s="136">
        <f>VLOOKUP(J32,Ökobaudat!$D$5:$CK$165,Ökobaudat!$AQ$1,0)/$Y$7</f>
        <v>0</v>
      </c>
      <c r="AC32" s="136" t="str">
        <f>IF(ISNUMBER(VLOOKUP(J32,Ökobaudat!$D$5:$CK$165,Ökobaudat!$AF$1,0)),VLOOKUP(J32,Ökobaudat!$D$5:$CK$165,Ökobaudat!$AF$1,0),"")</f>
        <v/>
      </c>
      <c r="AD32" s="136">
        <f>IF(ISNUMBER(VLOOKUP(J32,Ökobaudat!$D$5:$CK$165,Ökobaudat!$BF$1,0)),VLOOKUP(J32,Ökobaudat!$D$5:$CK$165,Ökobaudat!$BF$1,0),"")</f>
        <v>-636.14449532812898</v>
      </c>
      <c r="AE32" s="136" t="str">
        <f>IF(ISTEXT(VLOOKUP(J32,Ökobaudat!$D$5:$CK$165,Ökobaudat!$BX$1,0)),VLOOKUP(J32,Ökobaudat!$D$5:$CK$165,Ökobaudat!$BX$1,0),"")</f>
        <v/>
      </c>
    </row>
    <row r="33" spans="2:31" ht="13.5" x14ac:dyDescent="0.2">
      <c r="B33" s="346" t="str">
        <f t="shared" si="2"/>
        <v>023</v>
      </c>
      <c r="C33" s="145" t="str">
        <f t="shared" si="3"/>
        <v>023-CLT cross-laminated timber; 480 kg/m³; 0.13 W/(mK); 80 years</v>
      </c>
      <c r="D33" s="348" t="str">
        <f t="shared" si="6"/>
        <v>023</v>
      </c>
      <c r="E33" s="93">
        <v>0.13</v>
      </c>
      <c r="F33" s="142">
        <f t="shared" si="7"/>
        <v>1014.6555555555556</v>
      </c>
      <c r="G33" s="142">
        <f t="shared" si="8"/>
        <v>-601.29100000000005</v>
      </c>
      <c r="H33" s="94">
        <v>80</v>
      </c>
      <c r="I33" s="133"/>
      <c r="J33" s="133" t="s">
        <v>997</v>
      </c>
      <c r="K33" s="137">
        <f>VLOOKUP(J33,Ökobaudat!$D$5:$CK$165,Ökobaudat!$T$1,0)</f>
        <v>1</v>
      </c>
      <c r="L33" s="136" t="str">
        <f>VLOOKUP(J33,Ökobaudat!$D$5:$CK$165,Ökobaudat!$U$1,0)</f>
        <v>m3</v>
      </c>
      <c r="M33" s="93"/>
      <c r="N33" s="139" t="str">
        <f t="shared" si="4"/>
        <v/>
      </c>
      <c r="O33" s="135" t="str">
        <f>IF(ISNUMBER(VLOOKUP(J33,Ökobaudat!$D$5:$CK$165,Ökobaudat!$AA$1,0)),VLOOKUP(J33,Ökobaudat!$D$5:$CK$165,Ökobaudat!$AA$1,0),"")</f>
        <v/>
      </c>
      <c r="P33" s="93"/>
      <c r="Q33" s="135">
        <f>IF(ISNUMBER(VLOOKUP(J33,Ökobaudat!$D$5:$CK$160,Ökobaudat!$Z$1,0)),VLOOKUP(J33,Ökobaudat!$D$5:$CK$160,Ökobaudat!$Z$1,0),"")</f>
        <v>480</v>
      </c>
      <c r="R33" s="138"/>
      <c r="S33" s="140">
        <f t="shared" si="9"/>
        <v>480</v>
      </c>
      <c r="T33" s="124">
        <f t="shared" si="13"/>
        <v>1</v>
      </c>
      <c r="U33" s="124">
        <f>IF(Balance!$H$12=Data!$B$4,W33,V33)</f>
        <v>1014.6555555555556</v>
      </c>
      <c r="V33" s="124">
        <f t="shared" si="10"/>
        <v>1014.6555555555556</v>
      </c>
      <c r="W33" s="124">
        <f t="shared" si="11"/>
        <v>3340.8080555555557</v>
      </c>
      <c r="X33" s="124">
        <f t="shared" si="12"/>
        <v>-601.29100000000005</v>
      </c>
      <c r="Y33" s="136">
        <f>VLOOKUP(J33,Ökobaudat!$D$5:$CK$165,Ökobaudat!$AM$1,0)/$Y$7</f>
        <v>293.91388888888883</v>
      </c>
      <c r="Z33" s="136">
        <f>VLOOKUP(J33,Ökobaudat!$D$5:$CK$165,Ökobaudat!$AN$1,0)/$Y$7</f>
        <v>2280.6805555555557</v>
      </c>
      <c r="AA33" s="136">
        <f>VLOOKUP(J33,Ökobaudat!$D$5:$CK$165,Ökobaudat!$AP$1,0)/$Y$7</f>
        <v>720.74166666666667</v>
      </c>
      <c r="AB33" s="136">
        <f>VLOOKUP(J33,Ökobaudat!$D$5:$CK$165,Ökobaudat!$AQ$1,0)/$Y$7</f>
        <v>45.471944444444446</v>
      </c>
      <c r="AC33" s="136">
        <f>IF(ISNUMBER(VLOOKUP(J33,Ökobaudat!$D$5:$CK$165,Ökobaudat!$AF$1,0)),VLOOKUP(J33,Ökobaudat!$D$5:$CK$165,Ökobaudat!$AF$1,0),"")</f>
        <v>-601.29100000000005</v>
      </c>
      <c r="AD33" s="136" t="str">
        <f>IF(ISNUMBER(VLOOKUP(J33,Ökobaudat!$D$5:$CK$165,Ökobaudat!$BF$1,0)),VLOOKUP(J33,Ökobaudat!$D$5:$CK$165,Ökobaudat!$BF$1,0),"")</f>
        <v/>
      </c>
      <c r="AE33" s="136" t="str">
        <f>IF(ISTEXT(VLOOKUP(J33,Ökobaudat!$D$5:$CK$165,Ökobaudat!$BX$1,0)),VLOOKUP(J33,Ökobaudat!$D$5:$CK$165,Ökobaudat!$BX$1,0),"")</f>
        <v/>
      </c>
    </row>
    <row r="34" spans="2:31" ht="13.5" x14ac:dyDescent="0.2">
      <c r="B34" s="346" t="str">
        <f t="shared" si="2"/>
        <v>024</v>
      </c>
      <c r="C34" s="145" t="str">
        <f t="shared" si="3"/>
        <v>024-Oriented Strand Board (German average); 600 kg/m³; 0.13 W/(mK); 80 years</v>
      </c>
      <c r="D34" s="348" t="str">
        <f t="shared" si="6"/>
        <v>024</v>
      </c>
      <c r="E34" s="93">
        <v>0.13</v>
      </c>
      <c r="F34" s="142">
        <f t="shared" si="7"/>
        <v>3027.3954833451362</v>
      </c>
      <c r="G34" s="142">
        <f t="shared" si="8"/>
        <v>-608.78646748019798</v>
      </c>
      <c r="H34" s="94">
        <v>80</v>
      </c>
      <c r="I34" s="133"/>
      <c r="J34" s="133" t="s">
        <v>506</v>
      </c>
      <c r="K34" s="137">
        <f>VLOOKUP(J34,Ökobaudat!$D$5:$CK$165,Ökobaudat!$T$1,0)</f>
        <v>1</v>
      </c>
      <c r="L34" s="136" t="str">
        <f>VLOOKUP(J34,Ökobaudat!$D$5:$CK$165,Ökobaudat!$U$1,0)</f>
        <v>m3</v>
      </c>
      <c r="M34" s="93"/>
      <c r="N34" s="139" t="str">
        <f t="shared" si="4"/>
        <v/>
      </c>
      <c r="O34" s="135" t="str">
        <f>IF(ISNUMBER(VLOOKUP(J34,Ökobaudat!$D$5:$CK$165,Ökobaudat!$AA$1,0)),VLOOKUP(J34,Ökobaudat!$D$5:$CK$165,Ökobaudat!$AA$1,0),"")</f>
        <v/>
      </c>
      <c r="P34" s="93"/>
      <c r="Q34" s="135">
        <f>IF(ISNUMBER(VLOOKUP(J34,Ökobaudat!$D$5:$CK$160,Ökobaudat!$Z$1,0)),VLOOKUP(J34,Ökobaudat!$D$5:$CK$160,Ökobaudat!$Z$1,0),"")</f>
        <v>600</v>
      </c>
      <c r="R34" s="138"/>
      <c r="S34" s="140">
        <f t="shared" si="9"/>
        <v>600</v>
      </c>
      <c r="T34" s="124">
        <f t="shared" si="13"/>
        <v>1</v>
      </c>
      <c r="U34" s="124">
        <f>IF(Balance!$H$12=Data!$B$4,W34,V34)</f>
        <v>3027.3954833451362</v>
      </c>
      <c r="V34" s="124">
        <f t="shared" si="10"/>
        <v>3027.3954833451362</v>
      </c>
      <c r="W34" s="124">
        <f t="shared" si="11"/>
        <v>6025.8763411875743</v>
      </c>
      <c r="X34" s="124">
        <f t="shared" si="12"/>
        <v>-608.78646748019798</v>
      </c>
      <c r="Y34" s="136">
        <f>VLOOKUP(J34,Ökobaudat!$D$5:$CK$165,Ökobaudat!$AM$1,0)/$Y$7</f>
        <v>761.02657035217783</v>
      </c>
      <c r="Z34" s="136">
        <f>VLOOKUP(J34,Ökobaudat!$D$5:$CK$165,Ökobaudat!$AN$1,0)/$Y$7</f>
        <v>2880.921298823333</v>
      </c>
      <c r="AA34" s="136">
        <f>VLOOKUP(J34,Ökobaudat!$D$5:$CK$165,Ökobaudat!$AP$1,0)/$Y$7</f>
        <v>2266.3689129929585</v>
      </c>
      <c r="AB34" s="136">
        <f>VLOOKUP(J34,Ökobaudat!$D$5:$CK$165,Ökobaudat!$AQ$1,0)/$Y$7</f>
        <v>117.55955901910473</v>
      </c>
      <c r="AC34" s="136" t="str">
        <f>IF(ISNUMBER(VLOOKUP(J34,Ökobaudat!$D$5:$CK$165,Ökobaudat!$AF$1,0)),VLOOKUP(J34,Ökobaudat!$D$5:$CK$165,Ökobaudat!$AF$1,0),"")</f>
        <v/>
      </c>
      <c r="AD34" s="136">
        <f>IF(ISNUMBER(VLOOKUP(J34,Ökobaudat!$D$5:$CK$165,Ökobaudat!$BF$1,0)),VLOOKUP(J34,Ökobaudat!$D$5:$CK$165,Ökobaudat!$BF$1,0),"")</f>
        <v>-608.78646748019798</v>
      </c>
      <c r="AE34" s="136" t="str">
        <f>IF(ISTEXT(VLOOKUP(J34,Ökobaudat!$D$5:$CK$165,Ökobaudat!$BX$1,0)),VLOOKUP(J34,Ökobaudat!$D$5:$CK$165,Ökobaudat!$BX$1,0),"")</f>
        <v/>
      </c>
    </row>
    <row r="35" spans="2:31" ht="13.5" x14ac:dyDescent="0.2">
      <c r="B35" s="346" t="str">
        <f t="shared" si="2"/>
        <v>025</v>
      </c>
      <c r="C35" s="145" t="str">
        <f t="shared" si="3"/>
        <v>025-;  kg/m³;  W/(mK);  years</v>
      </c>
      <c r="D35" s="348" t="str">
        <f t="shared" si="6"/>
        <v>025</v>
      </c>
      <c r="E35" s="93"/>
      <c r="F35" s="142" t="e">
        <f t="shared" si="7"/>
        <v>#N/A</v>
      </c>
      <c r="G35" s="142" t="e">
        <f t="shared" si="8"/>
        <v>#N/A</v>
      </c>
      <c r="H35" s="94"/>
      <c r="I35" s="133"/>
      <c r="J35" s="133"/>
      <c r="K35" s="137" t="e">
        <f>VLOOKUP(J35,Ökobaudat!$D$5:$CK$165,Ökobaudat!$T$1,0)</f>
        <v>#N/A</v>
      </c>
      <c r="L35" s="136" t="e">
        <f>VLOOKUP(J35,Ökobaudat!$D$5:$CK$165,Ökobaudat!$U$1,0)</f>
        <v>#N/A</v>
      </c>
      <c r="M35" s="93"/>
      <c r="N35" s="139" t="str">
        <f t="shared" si="4"/>
        <v/>
      </c>
      <c r="O35" s="135" t="str">
        <f>IF(ISNUMBER(VLOOKUP(J35,Ökobaudat!$D$5:$CK$165,Ökobaudat!$AA$1,0)),VLOOKUP(J35,Ökobaudat!$D$5:$CK$165,Ökobaudat!$AA$1,0),"")</f>
        <v/>
      </c>
      <c r="P35" s="93"/>
      <c r="Q35" s="135" t="str">
        <f>IF(ISNUMBER(VLOOKUP(J35,Ökobaudat!$D$5:$CK$160,Ökobaudat!$Z$1,0)),VLOOKUP(J35,Ökobaudat!$D$5:$CK$160,Ökobaudat!$Z$1,0),"")</f>
        <v/>
      </c>
      <c r="R35" s="138"/>
      <c r="S35" s="140" t="str">
        <f t="shared" si="9"/>
        <v/>
      </c>
      <c r="T35" s="124">
        <f t="shared" si="13"/>
        <v>1</v>
      </c>
      <c r="U35" s="124" t="e">
        <f>IF(Balance!$H$12=Data!$B$4,W35,V35)</f>
        <v>#N/A</v>
      </c>
      <c r="V35" s="124" t="e">
        <f t="shared" si="10"/>
        <v>#N/A</v>
      </c>
      <c r="W35" s="124" t="e">
        <f t="shared" si="11"/>
        <v>#N/A</v>
      </c>
      <c r="X35" s="124">
        <f t="shared" si="12"/>
        <v>0</v>
      </c>
      <c r="Y35" s="136" t="e">
        <f>VLOOKUP(J35,Ökobaudat!$D$5:$CK$165,Ökobaudat!$AM$1,0)/$Y$7</f>
        <v>#N/A</v>
      </c>
      <c r="Z35" s="136" t="e">
        <f>VLOOKUP(J35,Ökobaudat!$D$5:$CK$165,Ökobaudat!$AN$1,0)/$Y$7</f>
        <v>#N/A</v>
      </c>
      <c r="AA35" s="136" t="e">
        <f>VLOOKUP(J35,Ökobaudat!$D$5:$CK$165,Ökobaudat!$AP$1,0)/$Y$7</f>
        <v>#N/A</v>
      </c>
      <c r="AB35" s="136" t="e">
        <f>VLOOKUP(J35,Ökobaudat!$D$5:$CK$165,Ökobaudat!$AQ$1,0)/$Y$7</f>
        <v>#N/A</v>
      </c>
      <c r="AC35" s="136" t="str">
        <f>IF(ISNUMBER(VLOOKUP(J35,Ökobaudat!$D$5:$CK$165,Ökobaudat!$AF$1,0)),VLOOKUP(J35,Ökobaudat!$D$5:$CK$165,Ökobaudat!$AF$1,0),"")</f>
        <v/>
      </c>
      <c r="AD35" s="136" t="str">
        <f>IF(ISNUMBER(VLOOKUP(J35,Ökobaudat!$D$5:$CK$165,Ökobaudat!$BF$1,0)),VLOOKUP(J35,Ökobaudat!$D$5:$CK$165,Ökobaudat!$BF$1,0),"")</f>
        <v/>
      </c>
      <c r="AE35" s="136" t="str">
        <f>IF(ISTEXT(VLOOKUP(J35,Ökobaudat!$D$5:$CK$165,Ökobaudat!$BX$1,0)),VLOOKUP(J35,Ökobaudat!$D$5:$CK$165,Ökobaudat!$BX$1,0),"")</f>
        <v/>
      </c>
    </row>
    <row r="36" spans="2:31" ht="13.5" x14ac:dyDescent="0.2">
      <c r="B36" s="346" t="str">
        <f t="shared" si="2"/>
        <v>026</v>
      </c>
      <c r="C36" s="145" t="str">
        <f t="shared" si="3"/>
        <v>026-PIR high-density foam; 31 kg/m³;  W/(mK); 40 years</v>
      </c>
      <c r="D36" s="348" t="str">
        <f t="shared" si="6"/>
        <v>026</v>
      </c>
      <c r="E36" s="93"/>
      <c r="F36" s="142">
        <f t="shared" si="7"/>
        <v>50.162105920492614</v>
      </c>
      <c r="G36" s="142">
        <f t="shared" si="8"/>
        <v>11.857576865512472</v>
      </c>
      <c r="H36" s="94">
        <v>40</v>
      </c>
      <c r="I36" s="133"/>
      <c r="J36" s="133" t="s">
        <v>741</v>
      </c>
      <c r="K36" s="137">
        <f>VLOOKUP(J36,Ökobaudat!$D$5:$CK$165,Ökobaudat!$T$1,0)</f>
        <v>1</v>
      </c>
      <c r="L36" s="136" t="str">
        <f>VLOOKUP(J36,Ökobaudat!$D$5:$CK$165,Ökobaudat!$U$1,0)</f>
        <v>m3</v>
      </c>
      <c r="M36" s="93"/>
      <c r="N36" s="139" t="str">
        <f t="shared" si="4"/>
        <v/>
      </c>
      <c r="O36" s="135" t="str">
        <f>IF(ISNUMBER(VLOOKUP(J36,Ökobaudat!$D$5:$CK$165,Ökobaudat!$AA$1,0)),VLOOKUP(J36,Ökobaudat!$D$5:$CK$165,Ökobaudat!$AA$1,0),"")</f>
        <v/>
      </c>
      <c r="P36" s="93"/>
      <c r="Q36" s="135">
        <f>IF(ISNUMBER(VLOOKUP(J36,Ökobaudat!$D$5:$CK$160,Ökobaudat!$Z$1,0)),VLOOKUP(J36,Ökobaudat!$D$5:$CK$160,Ökobaudat!$Z$1,0),"")</f>
        <v>250</v>
      </c>
      <c r="R36" s="138">
        <v>31</v>
      </c>
      <c r="S36" s="140">
        <f t="shared" si="9"/>
        <v>31</v>
      </c>
      <c r="T36" s="124">
        <f t="shared" si="13"/>
        <v>0.124</v>
      </c>
      <c r="U36" s="124">
        <f>IF(Balance!$H$12=Data!$B$4,W36,V36)</f>
        <v>50.162105920492614</v>
      </c>
      <c r="V36" s="124">
        <f t="shared" si="10"/>
        <v>50.162105920492614</v>
      </c>
      <c r="W36" s="124">
        <f t="shared" si="11"/>
        <v>78.062105920492613</v>
      </c>
      <c r="X36" s="124">
        <f t="shared" si="12"/>
        <v>11.857576865512472</v>
      </c>
      <c r="Y36" s="136">
        <f>VLOOKUP(J36,Ökobaudat!$D$5:$CK$165,Ökobaudat!$AM$1,0)/$Y$7</f>
        <v>49.69766493143166</v>
      </c>
      <c r="Z36" s="136">
        <f>VLOOKUP(J36,Ökobaudat!$D$5:$CK$165,Ökobaudat!$AN$1,0)/$Y$7</f>
        <v>0</v>
      </c>
      <c r="AA36" s="136">
        <f>VLOOKUP(J36,Ökobaudat!$D$5:$CK$165,Ökobaudat!$AP$1,0)/$Y$7</f>
        <v>354.83544733060558</v>
      </c>
      <c r="AB36" s="136">
        <f>VLOOKUP(J36,Ökobaudat!$D$5:$CK$165,Ökobaudat!$AQ$1,0)/$Y$7</f>
        <v>225</v>
      </c>
      <c r="AC36" s="136" t="str">
        <f>IF(ISNUMBER(VLOOKUP(J36,Ökobaudat!$D$5:$CK$165,Ökobaudat!$AF$1,0)),VLOOKUP(J36,Ökobaudat!$D$5:$CK$165,Ökobaudat!$AF$1,0),"")</f>
        <v/>
      </c>
      <c r="AD36" s="136">
        <f>IF(ISNUMBER(VLOOKUP(J36,Ökobaudat!$D$5:$CK$165,Ökobaudat!$BF$1,0)),VLOOKUP(J36,Ökobaudat!$D$5:$CK$165,Ökobaudat!$BF$1,0),"")</f>
        <v>95.625619883165101</v>
      </c>
      <c r="AE36" s="136" t="str">
        <f>IF(ISTEXT(VLOOKUP(J36,Ökobaudat!$D$5:$CK$165,Ökobaudat!$BX$1,0)),VLOOKUP(J36,Ökobaudat!$D$5:$CK$165,Ökobaudat!$BX$1,0),"")</f>
        <v/>
      </c>
    </row>
    <row r="37" spans="2:31" ht="13.5" x14ac:dyDescent="0.2">
      <c r="B37" s="346" t="str">
        <f t="shared" si="2"/>
        <v>027</v>
      </c>
      <c r="C37" s="145" t="str">
        <f t="shared" si="3"/>
        <v>027-Extruded polystyrene (XPS); 32 kg/m³; 0.035 W/(mK); 40 years</v>
      </c>
      <c r="D37" s="348" t="str">
        <f t="shared" si="6"/>
        <v>027</v>
      </c>
      <c r="E37" s="93">
        <v>3.5000000000000003E-2</v>
      </c>
      <c r="F37" s="142">
        <f t="shared" si="7"/>
        <v>443.12367412490664</v>
      </c>
      <c r="G37" s="142">
        <f t="shared" si="8"/>
        <v>95.088104892065601</v>
      </c>
      <c r="H37" s="94">
        <v>40</v>
      </c>
      <c r="I37" s="133"/>
      <c r="J37" s="133" t="s">
        <v>787</v>
      </c>
      <c r="K37" s="137">
        <f>VLOOKUP(J37,Ökobaudat!$D$5:$CK$165,Ökobaudat!$T$1,0)</f>
        <v>1</v>
      </c>
      <c r="L37" s="136" t="str">
        <f>VLOOKUP(J37,Ökobaudat!$D$5:$CK$165,Ökobaudat!$U$1,0)</f>
        <v>m3</v>
      </c>
      <c r="M37" s="93"/>
      <c r="N37" s="139" t="str">
        <f t="shared" si="4"/>
        <v/>
      </c>
      <c r="O37" s="135" t="str">
        <f>IF(ISNUMBER(VLOOKUP(J37,Ökobaudat!$D$5:$CK$165,Ökobaudat!$AA$1,0)),VLOOKUP(J37,Ökobaudat!$D$5:$CK$165,Ökobaudat!$AA$1,0),"")</f>
        <v/>
      </c>
      <c r="P37" s="93"/>
      <c r="Q37" s="135">
        <f>IF(ISNUMBER(VLOOKUP(J37,Ökobaudat!$D$5:$CK$160,Ökobaudat!$Z$1,0)),VLOOKUP(J37,Ökobaudat!$D$5:$CK$160,Ökobaudat!$Z$1,0),"")</f>
        <v>32</v>
      </c>
      <c r="R37" s="138"/>
      <c r="S37" s="140">
        <f t="shared" si="9"/>
        <v>32</v>
      </c>
      <c r="T37" s="124">
        <f t="shared" si="13"/>
        <v>1</v>
      </c>
      <c r="U37" s="124">
        <f>IF(Balance!$H$12=Data!$B$4,W37,V37)</f>
        <v>443.12367412490664</v>
      </c>
      <c r="V37" s="124">
        <f t="shared" si="10"/>
        <v>443.12367412490664</v>
      </c>
      <c r="W37" s="124">
        <f t="shared" si="11"/>
        <v>804.23478523601773</v>
      </c>
      <c r="X37" s="124">
        <f t="shared" si="12"/>
        <v>95.088104892065601</v>
      </c>
      <c r="Y37" s="136">
        <f>VLOOKUP(J37,Ökobaudat!$D$5:$CK$165,Ökobaudat!$AM$1,0)/$Y$7</f>
        <v>57.674011292984439</v>
      </c>
      <c r="Z37" s="136">
        <f>VLOOKUP(J37,Ökobaudat!$D$5:$CK$165,Ökobaudat!$AN$1,0)/$Y$7</f>
        <v>0</v>
      </c>
      <c r="AA37" s="136">
        <f>VLOOKUP(J37,Ökobaudat!$D$5:$CK$165,Ökobaudat!$AP$1,0)/$Y$7</f>
        <v>385.44966283192218</v>
      </c>
      <c r="AB37" s="136">
        <f>VLOOKUP(J37,Ökobaudat!$D$5:$CK$165,Ökobaudat!$AQ$1,0)/$Y$7</f>
        <v>361.11111111111109</v>
      </c>
      <c r="AC37" s="136" t="str">
        <f>IF(ISNUMBER(VLOOKUP(J37,Ökobaudat!$D$5:$CK$165,Ökobaudat!$AF$1,0)),VLOOKUP(J37,Ökobaudat!$D$5:$CK$165,Ökobaudat!$AF$1,0),"")</f>
        <v/>
      </c>
      <c r="AD37" s="136">
        <f>IF(ISNUMBER(VLOOKUP(J37,Ökobaudat!$D$5:$CK$165,Ökobaudat!$BF$1,0)),VLOOKUP(J37,Ökobaudat!$D$5:$CK$165,Ökobaudat!$BF$1,0),"")</f>
        <v>95.088104892065601</v>
      </c>
      <c r="AE37" s="136" t="str">
        <f>IF(ISTEXT(VLOOKUP(J37,Ökobaudat!$D$5:$CK$165,Ökobaudat!$BX$1,0)),VLOOKUP(J37,Ökobaudat!$D$5:$CK$165,Ökobaudat!$BX$1,0),"")</f>
        <v/>
      </c>
    </row>
    <row r="38" spans="2:31" ht="13.5" x14ac:dyDescent="0.2">
      <c r="B38" s="346" t="str">
        <f t="shared" si="2"/>
        <v>028</v>
      </c>
      <c r="C38" s="145" t="str">
        <f t="shared" si="3"/>
        <v>028-GLAPOR foamglass; 120 kg/m³; 0.04 W/(mK); 40 years</v>
      </c>
      <c r="D38" s="348" t="str">
        <f t="shared" si="6"/>
        <v>028</v>
      </c>
      <c r="E38" s="93">
        <v>0.04</v>
      </c>
      <c r="F38" s="142">
        <f t="shared" si="7"/>
        <v>433.33333333333331</v>
      </c>
      <c r="G38" s="142">
        <f t="shared" si="8"/>
        <v>87.3</v>
      </c>
      <c r="H38" s="94">
        <v>40</v>
      </c>
      <c r="I38" s="133"/>
      <c r="J38" s="133" t="s">
        <v>1005</v>
      </c>
      <c r="K38" s="137">
        <f>VLOOKUP(J38,Ökobaudat!$D$5:$CK$165,Ökobaudat!$T$1,0)</f>
        <v>1</v>
      </c>
      <c r="L38" s="136" t="str">
        <f>VLOOKUP(J38,Ökobaudat!$D$5:$CK$165,Ökobaudat!$U$1,0)</f>
        <v>m3</v>
      </c>
      <c r="M38" s="93"/>
      <c r="N38" s="139" t="str">
        <f t="shared" si="4"/>
        <v/>
      </c>
      <c r="O38" s="135" t="str">
        <f>IF(ISNUMBER(VLOOKUP(J38,Ökobaudat!$D$5:$CK$165,Ökobaudat!$AA$1,0)),VLOOKUP(J38,Ökobaudat!$D$5:$CK$165,Ökobaudat!$AA$1,0),"")</f>
        <v/>
      </c>
      <c r="P38" s="93"/>
      <c r="Q38" s="135">
        <f>IF(ISNUMBER(VLOOKUP(J38,Ökobaudat!$D$5:$CK$160,Ökobaudat!$Z$1,0)),VLOOKUP(J38,Ökobaudat!$D$5:$CK$160,Ökobaudat!$Z$1,0),"")</f>
        <v>120</v>
      </c>
      <c r="R38" s="138"/>
      <c r="S38" s="140">
        <f t="shared" si="9"/>
        <v>120</v>
      </c>
      <c r="T38" s="124">
        <f t="shared" si="13"/>
        <v>1</v>
      </c>
      <c r="U38" s="124">
        <f>IF(Balance!$H$12=Data!$B$4,W38,V38)</f>
        <v>433.33333333333331</v>
      </c>
      <c r="V38" s="124">
        <f t="shared" si="10"/>
        <v>433.33333333333331</v>
      </c>
      <c r="W38" s="124">
        <f t="shared" si="11"/>
        <v>441.4444444444444</v>
      </c>
      <c r="X38" s="124">
        <f t="shared" si="12"/>
        <v>87.3</v>
      </c>
      <c r="Y38" s="136">
        <f>VLOOKUP(J38,Ökobaudat!$D$5:$CK$165,Ökobaudat!$AM$1,0)/$Y$7</f>
        <v>36.111111111111107</v>
      </c>
      <c r="Z38" s="136">
        <f>VLOOKUP(J38,Ökobaudat!$D$5:$CK$165,Ökobaudat!$AN$1,0)/$Y$7</f>
        <v>0</v>
      </c>
      <c r="AA38" s="136">
        <f>VLOOKUP(J38,Ökobaudat!$D$5:$CK$165,Ökobaudat!$AP$1,0)/$Y$7</f>
        <v>397.22222222222223</v>
      </c>
      <c r="AB38" s="136">
        <f>VLOOKUP(J38,Ökobaudat!$D$5:$CK$165,Ökobaudat!$AQ$1,0)/$Y$7</f>
        <v>8.1111111111111107</v>
      </c>
      <c r="AC38" s="136">
        <f>IF(ISNUMBER(VLOOKUP(J38,Ökobaudat!$D$5:$CK$165,Ökobaudat!$AF$1,0)),VLOOKUP(J38,Ökobaudat!$D$5:$CK$165,Ökobaudat!$AF$1,0),"")</f>
        <v>87.3</v>
      </c>
      <c r="AD38" s="136" t="str">
        <f>IF(ISNUMBER(VLOOKUP(J38,Ökobaudat!$D$5:$CK$165,Ökobaudat!$BF$1,0)),VLOOKUP(J38,Ökobaudat!$D$5:$CK$165,Ökobaudat!$BF$1,0),"")</f>
        <v/>
      </c>
      <c r="AE38" s="136" t="str">
        <f>IF(ISTEXT(VLOOKUP(J38,Ökobaudat!$D$5:$CK$165,Ökobaudat!$BX$1,0)),VLOOKUP(J38,Ökobaudat!$D$5:$CK$165,Ökobaudat!$BX$1,0),"")</f>
        <v/>
      </c>
    </row>
    <row r="39" spans="2:31" ht="15" x14ac:dyDescent="0.25">
      <c r="B39" s="346" t="str">
        <f t="shared" si="2"/>
        <v>029</v>
      </c>
      <c r="C39" s="145" t="str">
        <f>B39&amp;"-"&amp;IF(ISTEXT(I39),I39,J39&amp;"; "&amp;S39&amp;" kg/m³; "&amp;E39&amp;" W/(mK); "&amp;H39&amp;" years")</f>
        <v>029-BauderTHERMOFOL U / M;  kg/m³;  W/(mK);  years</v>
      </c>
      <c r="D39" s="348" t="str">
        <f t="shared" si="6"/>
        <v>029</v>
      </c>
      <c r="E39" s="93"/>
      <c r="F39" s="142" t="e">
        <f t="shared" si="7"/>
        <v>#VALUE!</v>
      </c>
      <c r="G39" s="142" t="e">
        <f t="shared" si="8"/>
        <v>#VALUE!</v>
      </c>
      <c r="H39" s="94"/>
      <c r="I39" s="133"/>
      <c r="J39" s="14" t="s">
        <v>1099</v>
      </c>
      <c r="K39" s="137">
        <f>VLOOKUP(J39,Ökobaudat!$D$5:$CK$165,Ökobaudat!$T$1,0)</f>
        <v>1</v>
      </c>
      <c r="L39" s="136" t="str">
        <f>VLOOKUP(J39,Ökobaudat!$D$5:$CK$165,Ökobaudat!$U$1,0)</f>
        <v>qm</v>
      </c>
      <c r="M39" s="93"/>
      <c r="N39" s="139" t="str">
        <f t="shared" si="4"/>
        <v/>
      </c>
      <c r="O39" s="135" t="str">
        <f>IF(ISNUMBER(VLOOKUP(J39,Ökobaudat!$D$5:$CK$165,Ökobaudat!$AA$1,0)),VLOOKUP(J39,Ökobaudat!$D$5:$CK$165,Ökobaudat!$AA$1,0),"")</f>
        <v/>
      </c>
      <c r="P39" s="93"/>
      <c r="Q39" s="135" t="str">
        <f>IF(ISNUMBER(VLOOKUP(J39,Ökobaudat!$D$5:$CK$160,Ökobaudat!$Z$1,0)),VLOOKUP(J39,Ökobaudat!$D$5:$CK$160,Ökobaudat!$Z$1,0),"")</f>
        <v/>
      </c>
      <c r="R39" s="138"/>
      <c r="S39" s="140" t="str">
        <f t="shared" si="9"/>
        <v/>
      </c>
      <c r="T39" s="124">
        <f t="shared" si="13"/>
        <v>1</v>
      </c>
      <c r="U39" s="124">
        <f>IF(Balance!$H$12=Data!$B$4,W39,V39)</f>
        <v>0</v>
      </c>
      <c r="V39" s="124">
        <f t="shared" si="10"/>
        <v>0</v>
      </c>
      <c r="W39" s="124">
        <f t="shared" si="11"/>
        <v>0</v>
      </c>
      <c r="X39" s="124">
        <f t="shared" si="12"/>
        <v>0</v>
      </c>
      <c r="Y39" s="136">
        <f>VLOOKUP(J39,Ökobaudat!$D$5:$CK$165,Ökobaudat!$AM$1,0)/$Y$7</f>
        <v>0</v>
      </c>
      <c r="Z39" s="136">
        <f>VLOOKUP(J39,Ökobaudat!$D$5:$CK$165,Ökobaudat!$AN$1,0)/$Y$7</f>
        <v>0</v>
      </c>
      <c r="AA39" s="136">
        <f>VLOOKUP(J39,Ökobaudat!$D$5:$CK$165,Ökobaudat!$AP$1,0)/$Y$7</f>
        <v>0</v>
      </c>
      <c r="AB39" s="136">
        <f>VLOOKUP(J39,Ökobaudat!$D$5:$CK$165,Ökobaudat!$AQ$1,0)/$Y$7</f>
        <v>0</v>
      </c>
      <c r="AC39" s="136" t="str">
        <f>IF(ISNUMBER(VLOOKUP(J39,Ökobaudat!$D$5:$CK$165,Ökobaudat!$AF$1,0)),VLOOKUP(J39,Ökobaudat!$D$5:$CK$165,Ökobaudat!$AF$1,0),"")</f>
        <v/>
      </c>
      <c r="AD39" s="136" t="str">
        <f>IF(ISNUMBER(VLOOKUP(J39,Ökobaudat!$D$5:$CK$165,Ökobaudat!$BF$1,0)),VLOOKUP(J39,Ökobaudat!$D$5:$CK$165,Ökobaudat!$BF$1,0),"")</f>
        <v/>
      </c>
      <c r="AE39" s="136" t="str">
        <f>IF(ISTEXT(VLOOKUP(J39,Ökobaudat!$D$5:$CK$165,Ökobaudat!$BX$1,0)),VLOOKUP(J39,Ökobaudat!$D$5:$CK$165,Ökobaudat!$BX$1,0),"")</f>
        <v/>
      </c>
    </row>
    <row r="40" spans="2:31" ht="13.5" x14ac:dyDescent="0.2">
      <c r="B40" s="346" t="str">
        <f t="shared" si="2"/>
        <v>030</v>
      </c>
      <c r="C40" s="145" t="str">
        <f t="shared" si="3"/>
        <v>030-;  kg/m³;  W/(mK);  years</v>
      </c>
      <c r="D40" s="348" t="str">
        <f t="shared" si="6"/>
        <v>030</v>
      </c>
      <c r="E40" s="93"/>
      <c r="F40" s="142" t="e">
        <f t="shared" si="7"/>
        <v>#N/A</v>
      </c>
      <c r="G40" s="142" t="e">
        <f t="shared" si="8"/>
        <v>#N/A</v>
      </c>
      <c r="H40" s="94"/>
      <c r="I40" s="133"/>
      <c r="J40" s="133"/>
      <c r="K40" s="137" t="e">
        <f>VLOOKUP(J40,Ökobaudat!$D$5:$CK$165,Ökobaudat!$T$1,0)</f>
        <v>#N/A</v>
      </c>
      <c r="L40" s="136" t="e">
        <f>VLOOKUP(J40,Ökobaudat!$D$5:$CK$165,Ökobaudat!$U$1,0)</f>
        <v>#N/A</v>
      </c>
      <c r="M40" s="93"/>
      <c r="N40" s="139" t="str">
        <f t="shared" si="4"/>
        <v/>
      </c>
      <c r="O40" s="135" t="str">
        <f>IF(ISNUMBER(VLOOKUP(J40,Ökobaudat!$D$5:$CK$165,Ökobaudat!$AA$1,0)),VLOOKUP(J40,Ökobaudat!$D$5:$CK$165,Ökobaudat!$AA$1,0),"")</f>
        <v/>
      </c>
      <c r="P40" s="93"/>
      <c r="Q40" s="135" t="str">
        <f>IF(ISNUMBER(VLOOKUP(J40,Ökobaudat!$D$5:$CK$160,Ökobaudat!$Z$1,0)),VLOOKUP(J40,Ökobaudat!$D$5:$CK$160,Ökobaudat!$Z$1,0),"")</f>
        <v/>
      </c>
      <c r="R40" s="138"/>
      <c r="S40" s="140" t="str">
        <f t="shared" si="9"/>
        <v/>
      </c>
      <c r="T40" s="124">
        <f t="shared" si="13"/>
        <v>1</v>
      </c>
      <c r="U40" s="124" t="e">
        <f>IF(Balance!$H$12=Data!$B$4,W40,V40)</f>
        <v>#N/A</v>
      </c>
      <c r="V40" s="124" t="e">
        <f t="shared" si="10"/>
        <v>#N/A</v>
      </c>
      <c r="W40" s="124" t="e">
        <f t="shared" si="11"/>
        <v>#N/A</v>
      </c>
      <c r="X40" s="124">
        <f t="shared" si="12"/>
        <v>0</v>
      </c>
      <c r="Y40" s="136" t="e">
        <f>VLOOKUP(J40,Ökobaudat!$D$5:$CK$165,Ökobaudat!$AM$1,0)/$Y$7</f>
        <v>#N/A</v>
      </c>
      <c r="Z40" s="136" t="e">
        <f>VLOOKUP(J40,Ökobaudat!$D$5:$CK$165,Ökobaudat!$AN$1,0)/$Y$7</f>
        <v>#N/A</v>
      </c>
      <c r="AA40" s="136" t="e">
        <f>VLOOKUP(J40,Ökobaudat!$D$5:$CK$165,Ökobaudat!$AP$1,0)/$Y$7</f>
        <v>#N/A</v>
      </c>
      <c r="AB40" s="136" t="e">
        <f>VLOOKUP(J40,Ökobaudat!$D$5:$CK$165,Ökobaudat!$AQ$1,0)/$Y$7</f>
        <v>#N/A</v>
      </c>
      <c r="AC40" s="136" t="str">
        <f>IF(ISNUMBER(VLOOKUP(J40,Ökobaudat!$D$5:$CK$165,Ökobaudat!$AF$1,0)),VLOOKUP(J40,Ökobaudat!$D$5:$CK$165,Ökobaudat!$AF$1,0),"")</f>
        <v/>
      </c>
      <c r="AD40" s="136" t="str">
        <f>IF(ISNUMBER(VLOOKUP(J40,Ökobaudat!$D$5:$CK$165,Ökobaudat!$BF$1,0)),VLOOKUP(J40,Ökobaudat!$D$5:$CK$165,Ökobaudat!$BF$1,0),"")</f>
        <v/>
      </c>
      <c r="AE40" s="136" t="str">
        <f>IF(ISTEXT(VLOOKUP(J40,Ökobaudat!$D$5:$CK$165,Ökobaudat!$BX$1,0)),VLOOKUP(J40,Ökobaudat!$D$5:$CK$165,Ökobaudat!$BX$1,0),"")</f>
        <v/>
      </c>
    </row>
    <row r="41" spans="2:31" ht="13.5" x14ac:dyDescent="0.2">
      <c r="B41" s="346" t="str">
        <f t="shared" si="2"/>
        <v>031</v>
      </c>
      <c r="C41" s="145" t="str">
        <f t="shared" si="3"/>
        <v>031-;  kg/m³;  W/(mK);  years</v>
      </c>
      <c r="D41" s="348" t="str">
        <f t="shared" si="6"/>
        <v>031</v>
      </c>
      <c r="E41" s="93"/>
      <c r="F41" s="142" t="e">
        <f t="shared" si="7"/>
        <v>#N/A</v>
      </c>
      <c r="G41" s="142" t="e">
        <f t="shared" si="8"/>
        <v>#N/A</v>
      </c>
      <c r="H41" s="94"/>
      <c r="I41" s="133"/>
      <c r="J41" s="133"/>
      <c r="K41" s="137" t="e">
        <f>VLOOKUP(J41,Ökobaudat!$D$5:$CK$165,Ökobaudat!$T$1,0)</f>
        <v>#N/A</v>
      </c>
      <c r="L41" s="136" t="e">
        <f>VLOOKUP(J41,Ökobaudat!$D$5:$CK$165,Ökobaudat!$U$1,0)</f>
        <v>#N/A</v>
      </c>
      <c r="M41" s="93"/>
      <c r="N41" s="139" t="str">
        <f t="shared" si="4"/>
        <v/>
      </c>
      <c r="O41" s="135" t="str">
        <f>IF(ISNUMBER(VLOOKUP(J41,Ökobaudat!$D$5:$CK$165,Ökobaudat!$AA$1,0)),VLOOKUP(J41,Ökobaudat!$D$5:$CK$165,Ökobaudat!$AA$1,0),"")</f>
        <v/>
      </c>
      <c r="P41" s="93"/>
      <c r="Q41" s="135" t="str">
        <f>IF(ISNUMBER(VLOOKUP(J41,Ökobaudat!$D$5:$CK$160,Ökobaudat!$Z$1,0)),VLOOKUP(J41,Ökobaudat!$D$5:$CK$160,Ökobaudat!$Z$1,0),"")</f>
        <v/>
      </c>
      <c r="R41" s="138"/>
      <c r="S41" s="140" t="str">
        <f t="shared" si="9"/>
        <v/>
      </c>
      <c r="T41" s="124">
        <f t="shared" si="13"/>
        <v>1</v>
      </c>
      <c r="U41" s="124" t="e">
        <f>IF(Balance!$H$12=Data!$B$4,W41,V41)</f>
        <v>#N/A</v>
      </c>
      <c r="V41" s="124" t="e">
        <f t="shared" si="10"/>
        <v>#N/A</v>
      </c>
      <c r="W41" s="124" t="e">
        <f t="shared" si="11"/>
        <v>#N/A</v>
      </c>
      <c r="X41" s="124">
        <f t="shared" si="12"/>
        <v>0</v>
      </c>
      <c r="Y41" s="136" t="e">
        <f>VLOOKUP(J41,Ökobaudat!$D$5:$CK$165,Ökobaudat!$AM$1,0)/$Y$7</f>
        <v>#N/A</v>
      </c>
      <c r="Z41" s="136" t="e">
        <f>VLOOKUP(J41,Ökobaudat!$D$5:$CK$165,Ökobaudat!$AN$1,0)/$Y$7</f>
        <v>#N/A</v>
      </c>
      <c r="AA41" s="136" t="e">
        <f>VLOOKUP(J41,Ökobaudat!$D$5:$CK$165,Ökobaudat!$AP$1,0)/$Y$7</f>
        <v>#N/A</v>
      </c>
      <c r="AB41" s="136" t="e">
        <f>VLOOKUP(J41,Ökobaudat!$D$5:$CK$165,Ökobaudat!$AQ$1,0)/$Y$7</f>
        <v>#N/A</v>
      </c>
      <c r="AC41" s="136" t="str">
        <f>IF(ISNUMBER(VLOOKUP(J41,Ökobaudat!$D$5:$CK$165,Ökobaudat!$AF$1,0)),VLOOKUP(J41,Ökobaudat!$D$5:$CK$165,Ökobaudat!$AF$1,0),"")</f>
        <v/>
      </c>
      <c r="AD41" s="136" t="str">
        <f>IF(ISNUMBER(VLOOKUP(J41,Ökobaudat!$D$5:$CK$165,Ökobaudat!$BF$1,0)),VLOOKUP(J41,Ökobaudat!$D$5:$CK$165,Ökobaudat!$BF$1,0),"")</f>
        <v/>
      </c>
      <c r="AE41" s="136" t="str">
        <f>IF(ISTEXT(VLOOKUP(J41,Ökobaudat!$D$5:$CK$165,Ökobaudat!$BX$1,0)),VLOOKUP(J41,Ökobaudat!$D$5:$CK$165,Ökobaudat!$BX$1,0),"")</f>
        <v/>
      </c>
    </row>
    <row r="42" spans="2:31" ht="13.5" x14ac:dyDescent="0.2">
      <c r="B42" s="346">
        <v>100</v>
      </c>
      <c r="C42" s="145" t="str">
        <f t="shared" si="3"/>
        <v>100-;  kg/m³;  W/(mK);  years</v>
      </c>
      <c r="D42" s="348" t="str">
        <f t="shared" si="6"/>
        <v>100</v>
      </c>
      <c r="E42" s="93"/>
      <c r="F42" s="142" t="e">
        <f t="shared" si="7"/>
        <v>#N/A</v>
      </c>
      <c r="G42" s="142" t="e">
        <f t="shared" si="8"/>
        <v>#N/A</v>
      </c>
      <c r="H42" s="94"/>
      <c r="I42" s="133"/>
      <c r="J42" s="133"/>
      <c r="K42" s="137" t="e">
        <f>VLOOKUP(J42,Ökobaudat!$D$5:$CK$165,Ökobaudat!$T$1,0)</f>
        <v>#N/A</v>
      </c>
      <c r="L42" s="136" t="e">
        <f>VLOOKUP(J42,Ökobaudat!$D$5:$CK$165,Ökobaudat!$U$1,0)</f>
        <v>#N/A</v>
      </c>
      <c r="M42" s="93"/>
      <c r="N42" s="139" t="str">
        <f t="shared" si="4"/>
        <v/>
      </c>
      <c r="O42" s="135" t="str">
        <f>IF(ISNUMBER(VLOOKUP(J42,Ökobaudat!$D$5:$CK$165,Ökobaudat!$AA$1,0)),VLOOKUP(J42,Ökobaudat!$D$5:$CK$165,Ökobaudat!$AA$1,0),"")</f>
        <v/>
      </c>
      <c r="P42" s="93"/>
      <c r="Q42" s="135" t="str">
        <f>IF(ISNUMBER(VLOOKUP(J42,Ökobaudat!$D$5:$CK$160,Ökobaudat!$Z$1,0)),VLOOKUP(J42,Ökobaudat!$D$5:$CK$160,Ökobaudat!$Z$1,0),"")</f>
        <v/>
      </c>
      <c r="R42" s="138"/>
      <c r="S42" s="140" t="str">
        <f t="shared" si="9"/>
        <v/>
      </c>
      <c r="T42" s="124">
        <f t="shared" si="13"/>
        <v>1</v>
      </c>
      <c r="U42" s="124" t="e">
        <f>IF(Balance!$H$12=Data!$B$4,W42,V42)</f>
        <v>#N/A</v>
      </c>
      <c r="V42" s="124" t="e">
        <f t="shared" si="10"/>
        <v>#N/A</v>
      </c>
      <c r="W42" s="124" t="e">
        <f t="shared" si="11"/>
        <v>#N/A</v>
      </c>
      <c r="X42" s="124">
        <f t="shared" si="12"/>
        <v>0</v>
      </c>
      <c r="Y42" s="136" t="e">
        <f>VLOOKUP(J42,Ökobaudat!$D$5:$CK$165,Ökobaudat!$AM$1,0)/$Y$7</f>
        <v>#N/A</v>
      </c>
      <c r="Z42" s="136" t="e">
        <f>VLOOKUP(J42,Ökobaudat!$D$5:$CK$165,Ökobaudat!$AN$1,0)/$Y$7</f>
        <v>#N/A</v>
      </c>
      <c r="AA42" s="136" t="e">
        <f>VLOOKUP(J42,Ökobaudat!$D$5:$CK$165,Ökobaudat!$AP$1,0)/$Y$7</f>
        <v>#N/A</v>
      </c>
      <c r="AB42" s="136" t="e">
        <f>VLOOKUP(J42,Ökobaudat!$D$5:$CK$165,Ökobaudat!$AQ$1,0)/$Y$7</f>
        <v>#N/A</v>
      </c>
      <c r="AC42" s="136" t="str">
        <f>IF(ISNUMBER(VLOOKUP(J42,Ökobaudat!$D$5:$CK$165,Ökobaudat!$AF$1,0)),VLOOKUP(J42,Ökobaudat!$D$5:$CK$165,Ökobaudat!$AF$1,0),"")</f>
        <v/>
      </c>
      <c r="AD42" s="136" t="str">
        <f>IF(ISNUMBER(VLOOKUP(J42,Ökobaudat!$D$5:$CK$165,Ökobaudat!$BF$1,0)),VLOOKUP(J42,Ökobaudat!$D$5:$CK$165,Ökobaudat!$BF$1,0),"")</f>
        <v/>
      </c>
      <c r="AE42" s="136" t="str">
        <f>IF(ISTEXT(VLOOKUP(J42,Ökobaudat!$D$5:$CK$165,Ökobaudat!$BX$1,0)),VLOOKUP(J42,Ökobaudat!$D$5:$CK$165,Ökobaudat!$BX$1,0),"")</f>
        <v/>
      </c>
    </row>
    <row r="43" spans="2:31" ht="13.5" x14ac:dyDescent="0.2">
      <c r="B43" s="346">
        <f>B42+1</f>
        <v>101</v>
      </c>
      <c r="C43" s="145" t="str">
        <f t="shared" ref="C43:C74" si="14">B43&amp;"-"&amp;IF(ISTEXT(I43),I43,J43&amp;"; "&amp;S43&amp;" kg/m³; "&amp;E43&amp;" W/(mK); "&amp;H43&amp;" years")</f>
        <v>101-;  kg/m³;  W/(mK);  years</v>
      </c>
      <c r="D43" s="348" t="str">
        <f t="shared" si="6"/>
        <v>101</v>
      </c>
      <c r="E43" s="93"/>
      <c r="F43" s="142" t="e">
        <f t="shared" si="7"/>
        <v>#N/A</v>
      </c>
      <c r="G43" s="142" t="e">
        <f t="shared" si="8"/>
        <v>#N/A</v>
      </c>
      <c r="H43" s="94"/>
      <c r="I43" s="133"/>
      <c r="J43" s="133"/>
      <c r="K43" s="137" t="e">
        <f>VLOOKUP(J43,Ökobaudat!$D$5:$CK$165,Ökobaudat!$T$1,0)</f>
        <v>#N/A</v>
      </c>
      <c r="L43" s="136" t="e">
        <f>VLOOKUP(J43,Ökobaudat!$D$5:$CK$165,Ökobaudat!$U$1,0)</f>
        <v>#N/A</v>
      </c>
      <c r="M43" s="93"/>
      <c r="N43" s="139" t="str">
        <f t="shared" ref="N43:N74" si="15">IF(ISNUMBER(M43),M43/1000,IF(ISNUMBER(P43),P43/S43,""))</f>
        <v/>
      </c>
      <c r="O43" s="135" t="str">
        <f>IF(ISNUMBER(VLOOKUP(J43,Ökobaudat!$D$5:$CK$165,Ökobaudat!$AA$1,0)),VLOOKUP(J43,Ökobaudat!$D$5:$CK$165,Ökobaudat!$AA$1,0),"")</f>
        <v/>
      </c>
      <c r="P43" s="93"/>
      <c r="Q43" s="135" t="str">
        <f>IF(ISNUMBER(VLOOKUP(J43,Ökobaudat!$D$5:$CK$160,Ökobaudat!$Z$1,0)),VLOOKUP(J43,Ökobaudat!$D$5:$CK$160,Ökobaudat!$Z$1,0),"")</f>
        <v/>
      </c>
      <c r="R43" s="138"/>
      <c r="S43" s="140" t="str">
        <f t="shared" si="9"/>
        <v/>
      </c>
      <c r="T43" s="124">
        <f t="shared" si="13"/>
        <v>1</v>
      </c>
      <c r="U43" s="124" t="e">
        <f>IF(Balance!$H$12=Data!$B$4,W43,V43)</f>
        <v>#N/A</v>
      </c>
      <c r="V43" s="124" t="e">
        <f t="shared" si="10"/>
        <v>#N/A</v>
      </c>
      <c r="W43" s="124" t="e">
        <f t="shared" si="11"/>
        <v>#N/A</v>
      </c>
      <c r="X43" s="124">
        <f t="shared" si="12"/>
        <v>0</v>
      </c>
      <c r="Y43" s="136" t="e">
        <f>VLOOKUP(J43,Ökobaudat!$D$5:$CK$165,Ökobaudat!$AM$1,0)/$Y$7</f>
        <v>#N/A</v>
      </c>
      <c r="Z43" s="136" t="e">
        <f>VLOOKUP(J43,Ökobaudat!$D$5:$CK$165,Ökobaudat!$AN$1,0)/$Y$7</f>
        <v>#N/A</v>
      </c>
      <c r="AA43" s="136" t="e">
        <f>VLOOKUP(J43,Ökobaudat!$D$5:$CK$165,Ökobaudat!$AP$1,0)/$Y$7</f>
        <v>#N/A</v>
      </c>
      <c r="AB43" s="136" t="e">
        <f>VLOOKUP(J43,Ökobaudat!$D$5:$CK$165,Ökobaudat!$AQ$1,0)/$Y$7</f>
        <v>#N/A</v>
      </c>
      <c r="AC43" s="136" t="str">
        <f>IF(ISNUMBER(VLOOKUP(J43,Ökobaudat!$D$5:$CK$165,Ökobaudat!$AF$1,0)),VLOOKUP(J43,Ökobaudat!$D$5:$CK$165,Ökobaudat!$AF$1,0),"")</f>
        <v/>
      </c>
      <c r="AD43" s="136" t="str">
        <f>IF(ISNUMBER(VLOOKUP(J43,Ökobaudat!$D$5:$CK$165,Ökobaudat!$BF$1,0)),VLOOKUP(J43,Ökobaudat!$D$5:$CK$165,Ökobaudat!$BF$1,0),"")</f>
        <v/>
      </c>
      <c r="AE43" s="136" t="str">
        <f>IF(ISTEXT(VLOOKUP(J43,Ökobaudat!$D$5:$CK$165,Ökobaudat!$BX$1,0)),VLOOKUP(J43,Ökobaudat!$D$5:$CK$165,Ökobaudat!$BX$1,0),"")</f>
        <v/>
      </c>
    </row>
    <row r="44" spans="2:31" ht="13.5" x14ac:dyDescent="0.2">
      <c r="B44" s="346">
        <f t="shared" ref="B44:B107" si="16">B43+1</f>
        <v>102</v>
      </c>
      <c r="C44" s="145" t="str">
        <f t="shared" si="14"/>
        <v>102-;  kg/m³;  W/(mK);  years</v>
      </c>
      <c r="D44" s="348" t="str">
        <f t="shared" si="6"/>
        <v>102</v>
      </c>
      <c r="E44" s="93"/>
      <c r="F44" s="142" t="e">
        <f t="shared" si="7"/>
        <v>#N/A</v>
      </c>
      <c r="G44" s="142" t="e">
        <f t="shared" si="8"/>
        <v>#N/A</v>
      </c>
      <c r="H44" s="94"/>
      <c r="I44" s="133"/>
      <c r="J44" s="133"/>
      <c r="K44" s="137" t="e">
        <f>VLOOKUP(J44,Ökobaudat!$D$5:$CK$165,Ökobaudat!$T$1,0)</f>
        <v>#N/A</v>
      </c>
      <c r="L44" s="136" t="e">
        <f>VLOOKUP(J44,Ökobaudat!$D$5:$CK$165,Ökobaudat!$U$1,0)</f>
        <v>#N/A</v>
      </c>
      <c r="M44" s="93"/>
      <c r="N44" s="139" t="str">
        <f t="shared" si="15"/>
        <v/>
      </c>
      <c r="O44" s="135" t="str">
        <f>IF(ISNUMBER(VLOOKUP(J44,Ökobaudat!$D$5:$CK$165,Ökobaudat!$AA$1,0)),VLOOKUP(J44,Ökobaudat!$D$5:$CK$165,Ökobaudat!$AA$1,0),"")</f>
        <v/>
      </c>
      <c r="P44" s="93"/>
      <c r="Q44" s="135" t="str">
        <f>IF(ISNUMBER(VLOOKUP(J44,Ökobaudat!$D$5:$CK$160,Ökobaudat!$Z$1,0)),VLOOKUP(J44,Ökobaudat!$D$5:$CK$160,Ökobaudat!$Z$1,0),"")</f>
        <v/>
      </c>
      <c r="R44" s="138"/>
      <c r="S44" s="140" t="str">
        <f t="shared" si="9"/>
        <v/>
      </c>
      <c r="T44" s="124">
        <f t="shared" si="13"/>
        <v>1</v>
      </c>
      <c r="U44" s="124" t="e">
        <f>IF(Balance!$H$12=Data!$B$4,W44,V44)</f>
        <v>#N/A</v>
      </c>
      <c r="V44" s="124" t="e">
        <f t="shared" si="10"/>
        <v>#N/A</v>
      </c>
      <c r="W44" s="124" t="e">
        <f t="shared" si="11"/>
        <v>#N/A</v>
      </c>
      <c r="X44" s="124">
        <f t="shared" si="12"/>
        <v>0</v>
      </c>
      <c r="Y44" s="136" t="e">
        <f>VLOOKUP(J44,Ökobaudat!$D$5:$CK$165,Ökobaudat!$AM$1,0)/$Y$7</f>
        <v>#N/A</v>
      </c>
      <c r="Z44" s="136" t="e">
        <f>VLOOKUP(J44,Ökobaudat!$D$5:$CK$165,Ökobaudat!$AN$1,0)/$Y$7</f>
        <v>#N/A</v>
      </c>
      <c r="AA44" s="136" t="e">
        <f>VLOOKUP(J44,Ökobaudat!$D$5:$CK$165,Ökobaudat!$AP$1,0)/$Y$7</f>
        <v>#N/A</v>
      </c>
      <c r="AB44" s="136" t="e">
        <f>VLOOKUP(J44,Ökobaudat!$D$5:$CK$165,Ökobaudat!$AQ$1,0)/$Y$7</f>
        <v>#N/A</v>
      </c>
      <c r="AC44" s="136" t="str">
        <f>IF(ISNUMBER(VLOOKUP(J44,Ökobaudat!$D$5:$CK$165,Ökobaudat!$AF$1,0)),VLOOKUP(J44,Ökobaudat!$D$5:$CK$165,Ökobaudat!$AF$1,0),"")</f>
        <v/>
      </c>
      <c r="AD44" s="136" t="str">
        <f>IF(ISNUMBER(VLOOKUP(J44,Ökobaudat!$D$5:$CK$165,Ökobaudat!$BF$1,0)),VLOOKUP(J44,Ökobaudat!$D$5:$CK$165,Ökobaudat!$BF$1,0),"")</f>
        <v/>
      </c>
      <c r="AE44" s="136" t="str">
        <f>IF(ISTEXT(VLOOKUP(J44,Ökobaudat!$D$5:$CK$165,Ökobaudat!$BX$1,0)),VLOOKUP(J44,Ökobaudat!$D$5:$CK$165,Ökobaudat!$BX$1,0),"")</f>
        <v/>
      </c>
    </row>
    <row r="45" spans="2:31" ht="13.5" x14ac:dyDescent="0.2">
      <c r="B45" s="346">
        <f t="shared" si="16"/>
        <v>103</v>
      </c>
      <c r="C45" s="145" t="str">
        <f t="shared" si="14"/>
        <v>103-;  kg/m³;  W/(mK);  years</v>
      </c>
      <c r="D45" s="348" t="str">
        <f t="shared" si="6"/>
        <v>103</v>
      </c>
      <c r="E45" s="93"/>
      <c r="F45" s="142" t="e">
        <f t="shared" si="7"/>
        <v>#N/A</v>
      </c>
      <c r="G45" s="142" t="e">
        <f t="shared" si="8"/>
        <v>#N/A</v>
      </c>
      <c r="H45" s="94"/>
      <c r="I45" s="133"/>
      <c r="J45" s="133"/>
      <c r="K45" s="137" t="e">
        <f>VLOOKUP(J45,Ökobaudat!$D$5:$CK$165,Ökobaudat!$T$1,0)</f>
        <v>#N/A</v>
      </c>
      <c r="L45" s="136" t="e">
        <f>VLOOKUP(J45,Ökobaudat!$D$5:$CK$165,Ökobaudat!$U$1,0)</f>
        <v>#N/A</v>
      </c>
      <c r="M45" s="93"/>
      <c r="N45" s="139" t="str">
        <f t="shared" si="15"/>
        <v/>
      </c>
      <c r="O45" s="135" t="str">
        <f>IF(ISNUMBER(VLOOKUP(J45,Ökobaudat!$D$5:$CK$165,Ökobaudat!$AA$1,0)),VLOOKUP(J45,Ökobaudat!$D$5:$CK$165,Ökobaudat!$AA$1,0),"")</f>
        <v/>
      </c>
      <c r="P45" s="93"/>
      <c r="Q45" s="135" t="str">
        <f>IF(ISNUMBER(VLOOKUP(J45,Ökobaudat!$D$5:$CK$160,Ökobaudat!$Z$1,0)),VLOOKUP(J45,Ökobaudat!$D$5:$CK$160,Ökobaudat!$Z$1,0),"")</f>
        <v/>
      </c>
      <c r="R45" s="138"/>
      <c r="S45" s="140" t="str">
        <f t="shared" si="9"/>
        <v/>
      </c>
      <c r="T45" s="124">
        <f t="shared" si="13"/>
        <v>1</v>
      </c>
      <c r="U45" s="124" t="e">
        <f>IF(Balance!$H$12=Data!$B$4,W45,V45)</f>
        <v>#N/A</v>
      </c>
      <c r="V45" s="124" t="e">
        <f t="shared" si="10"/>
        <v>#N/A</v>
      </c>
      <c r="W45" s="124" t="e">
        <f t="shared" si="11"/>
        <v>#N/A</v>
      </c>
      <c r="X45" s="124">
        <f t="shared" si="12"/>
        <v>0</v>
      </c>
      <c r="Y45" s="136" t="e">
        <f>VLOOKUP(J45,Ökobaudat!$D$5:$CK$165,Ökobaudat!$AM$1,0)/$Y$7</f>
        <v>#N/A</v>
      </c>
      <c r="Z45" s="136" t="e">
        <f>VLOOKUP(J45,Ökobaudat!$D$5:$CK$165,Ökobaudat!$AN$1,0)/$Y$7</f>
        <v>#N/A</v>
      </c>
      <c r="AA45" s="136" t="e">
        <f>VLOOKUP(J45,Ökobaudat!$D$5:$CK$165,Ökobaudat!$AP$1,0)/$Y$7</f>
        <v>#N/A</v>
      </c>
      <c r="AB45" s="136" t="e">
        <f>VLOOKUP(J45,Ökobaudat!$D$5:$CK$165,Ökobaudat!$AQ$1,0)/$Y$7</f>
        <v>#N/A</v>
      </c>
      <c r="AC45" s="136" t="str">
        <f>IF(ISNUMBER(VLOOKUP(J45,Ökobaudat!$D$5:$CK$165,Ökobaudat!$AF$1,0)),VLOOKUP(J45,Ökobaudat!$D$5:$CK$165,Ökobaudat!$AF$1,0),"")</f>
        <v/>
      </c>
      <c r="AD45" s="136" t="str">
        <f>IF(ISNUMBER(VLOOKUP(J45,Ökobaudat!$D$5:$CK$165,Ökobaudat!$BF$1,0)),VLOOKUP(J45,Ökobaudat!$D$5:$CK$165,Ökobaudat!$BF$1,0),"")</f>
        <v/>
      </c>
      <c r="AE45" s="136" t="str">
        <f>IF(ISTEXT(VLOOKUP(J45,Ökobaudat!$D$5:$CK$165,Ökobaudat!$BX$1,0)),VLOOKUP(J45,Ökobaudat!$D$5:$CK$165,Ökobaudat!$BX$1,0),"")</f>
        <v/>
      </c>
    </row>
    <row r="46" spans="2:31" ht="13.5" x14ac:dyDescent="0.2">
      <c r="B46" s="346">
        <f t="shared" si="16"/>
        <v>104</v>
      </c>
      <c r="C46" s="145" t="str">
        <f t="shared" si="14"/>
        <v>104-;  kg/m³;  W/(mK);  years</v>
      </c>
      <c r="D46" s="348" t="str">
        <f t="shared" si="6"/>
        <v>104</v>
      </c>
      <c r="E46" s="93"/>
      <c r="F46" s="142" t="e">
        <f t="shared" si="7"/>
        <v>#N/A</v>
      </c>
      <c r="G46" s="142" t="e">
        <f t="shared" si="8"/>
        <v>#N/A</v>
      </c>
      <c r="H46" s="94"/>
      <c r="I46" s="133"/>
      <c r="J46" s="133"/>
      <c r="K46" s="137" t="e">
        <f>VLOOKUP(J46,Ökobaudat!$D$5:$CK$165,Ökobaudat!$T$1,0)</f>
        <v>#N/A</v>
      </c>
      <c r="L46" s="136" t="e">
        <f>VLOOKUP(J46,Ökobaudat!$D$5:$CK$165,Ökobaudat!$U$1,0)</f>
        <v>#N/A</v>
      </c>
      <c r="M46" s="93"/>
      <c r="N46" s="139" t="str">
        <f t="shared" si="15"/>
        <v/>
      </c>
      <c r="O46" s="135" t="str">
        <f>IF(ISNUMBER(VLOOKUP(J46,Ökobaudat!$D$5:$CK$165,Ökobaudat!$AA$1,0)),VLOOKUP(J46,Ökobaudat!$D$5:$CK$165,Ökobaudat!$AA$1,0),"")</f>
        <v/>
      </c>
      <c r="P46" s="93"/>
      <c r="Q46" s="135" t="str">
        <f>IF(ISNUMBER(VLOOKUP(J46,Ökobaudat!$D$5:$CK$160,Ökobaudat!$Z$1,0)),VLOOKUP(J46,Ökobaudat!$D$5:$CK$160,Ökobaudat!$Z$1,0),"")</f>
        <v/>
      </c>
      <c r="R46" s="138"/>
      <c r="S46" s="140" t="str">
        <f t="shared" si="9"/>
        <v/>
      </c>
      <c r="T46" s="124">
        <f t="shared" si="13"/>
        <v>1</v>
      </c>
      <c r="U46" s="124" t="e">
        <f>IF(Balance!$H$12=Data!$B$4,W46,V46)</f>
        <v>#N/A</v>
      </c>
      <c r="V46" s="124" t="e">
        <f t="shared" si="10"/>
        <v>#N/A</v>
      </c>
      <c r="W46" s="124" t="e">
        <f t="shared" si="11"/>
        <v>#N/A</v>
      </c>
      <c r="X46" s="124">
        <f t="shared" si="12"/>
        <v>0</v>
      </c>
      <c r="Y46" s="136" t="e">
        <f>VLOOKUP(J46,Ökobaudat!$D$5:$CK$165,Ökobaudat!$AM$1,0)/$Y$7</f>
        <v>#N/A</v>
      </c>
      <c r="Z46" s="136" t="e">
        <f>VLOOKUP(J46,Ökobaudat!$D$5:$CK$165,Ökobaudat!$AN$1,0)/$Y$7</f>
        <v>#N/A</v>
      </c>
      <c r="AA46" s="136" t="e">
        <f>VLOOKUP(J46,Ökobaudat!$D$5:$CK$165,Ökobaudat!$AP$1,0)/$Y$7</f>
        <v>#N/A</v>
      </c>
      <c r="AB46" s="136" t="e">
        <f>VLOOKUP(J46,Ökobaudat!$D$5:$CK$165,Ökobaudat!$AQ$1,0)/$Y$7</f>
        <v>#N/A</v>
      </c>
      <c r="AC46" s="136" t="str">
        <f>IF(ISNUMBER(VLOOKUP(J46,Ökobaudat!$D$5:$CK$165,Ökobaudat!$AF$1,0)),VLOOKUP(J46,Ökobaudat!$D$5:$CK$165,Ökobaudat!$AF$1,0),"")</f>
        <v/>
      </c>
      <c r="AD46" s="136" t="str">
        <f>IF(ISNUMBER(VLOOKUP(J46,Ökobaudat!$D$5:$CK$165,Ökobaudat!$BF$1,0)),VLOOKUP(J46,Ökobaudat!$D$5:$CK$165,Ökobaudat!$BF$1,0),"")</f>
        <v/>
      </c>
      <c r="AE46" s="136" t="str">
        <f>IF(ISTEXT(VLOOKUP(J46,Ökobaudat!$D$5:$CK$165,Ökobaudat!$BX$1,0)),VLOOKUP(J46,Ökobaudat!$D$5:$CK$165,Ökobaudat!$BX$1,0),"")</f>
        <v/>
      </c>
    </row>
    <row r="47" spans="2:31" ht="13.5" x14ac:dyDescent="0.2">
      <c r="B47" s="346">
        <f t="shared" si="16"/>
        <v>105</v>
      </c>
      <c r="C47" s="145" t="str">
        <f t="shared" si="14"/>
        <v>105-;  kg/m³;  W/(mK);  years</v>
      </c>
      <c r="D47" s="348" t="str">
        <f t="shared" si="6"/>
        <v>105</v>
      </c>
      <c r="E47" s="93"/>
      <c r="F47" s="142" t="e">
        <f t="shared" si="7"/>
        <v>#N/A</v>
      </c>
      <c r="G47" s="142" t="e">
        <f t="shared" si="8"/>
        <v>#N/A</v>
      </c>
      <c r="H47" s="94"/>
      <c r="I47" s="133"/>
      <c r="J47" s="133"/>
      <c r="K47" s="137" t="e">
        <f>VLOOKUP(J47,Ökobaudat!$D$5:$CK$165,Ökobaudat!$T$1,0)</f>
        <v>#N/A</v>
      </c>
      <c r="L47" s="136" t="e">
        <f>VLOOKUP(J47,Ökobaudat!$D$5:$CK$165,Ökobaudat!$U$1,0)</f>
        <v>#N/A</v>
      </c>
      <c r="M47" s="93"/>
      <c r="N47" s="139" t="str">
        <f t="shared" si="15"/>
        <v/>
      </c>
      <c r="O47" s="135" t="str">
        <f>IF(ISNUMBER(VLOOKUP(J47,Ökobaudat!$D$5:$CK$165,Ökobaudat!$AA$1,0)),VLOOKUP(J47,Ökobaudat!$D$5:$CK$165,Ökobaudat!$AA$1,0),"")</f>
        <v/>
      </c>
      <c r="P47" s="93"/>
      <c r="Q47" s="135" t="str">
        <f>IF(ISNUMBER(VLOOKUP(J47,Ökobaudat!$D$5:$CK$160,Ökobaudat!$Z$1,0)),VLOOKUP(J47,Ökobaudat!$D$5:$CK$160,Ökobaudat!$Z$1,0),"")</f>
        <v/>
      </c>
      <c r="R47" s="138"/>
      <c r="S47" s="140" t="str">
        <f t="shared" si="9"/>
        <v/>
      </c>
      <c r="T47" s="124">
        <f t="shared" si="13"/>
        <v>1</v>
      </c>
      <c r="U47" s="124" t="e">
        <f>IF(Balance!$H$12=Data!$B$4,W47,V47)</f>
        <v>#N/A</v>
      </c>
      <c r="V47" s="124" t="e">
        <f t="shared" si="10"/>
        <v>#N/A</v>
      </c>
      <c r="W47" s="124" t="e">
        <f t="shared" si="11"/>
        <v>#N/A</v>
      </c>
      <c r="X47" s="124">
        <f t="shared" si="12"/>
        <v>0</v>
      </c>
      <c r="Y47" s="136" t="e">
        <f>VLOOKUP(J47,Ökobaudat!$D$5:$CK$165,Ökobaudat!$AM$1,0)/$Y$7</f>
        <v>#N/A</v>
      </c>
      <c r="Z47" s="136" t="e">
        <f>VLOOKUP(J47,Ökobaudat!$D$5:$CK$165,Ökobaudat!$AN$1,0)/$Y$7</f>
        <v>#N/A</v>
      </c>
      <c r="AA47" s="136" t="e">
        <f>VLOOKUP(J47,Ökobaudat!$D$5:$CK$165,Ökobaudat!$AP$1,0)/$Y$7</f>
        <v>#N/A</v>
      </c>
      <c r="AB47" s="136" t="e">
        <f>VLOOKUP(J47,Ökobaudat!$D$5:$CK$165,Ökobaudat!$AQ$1,0)/$Y$7</f>
        <v>#N/A</v>
      </c>
      <c r="AC47" s="136" t="str">
        <f>IF(ISNUMBER(VLOOKUP(J47,Ökobaudat!$D$5:$CK$165,Ökobaudat!$AF$1,0)),VLOOKUP(J47,Ökobaudat!$D$5:$CK$165,Ökobaudat!$AF$1,0),"")</f>
        <v/>
      </c>
      <c r="AD47" s="136" t="str">
        <f>IF(ISNUMBER(VLOOKUP(J47,Ökobaudat!$D$5:$CK$165,Ökobaudat!$BF$1,0)),VLOOKUP(J47,Ökobaudat!$D$5:$CK$165,Ökobaudat!$BF$1,0),"")</f>
        <v/>
      </c>
      <c r="AE47" s="136" t="str">
        <f>IF(ISTEXT(VLOOKUP(J47,Ökobaudat!$D$5:$CK$165,Ökobaudat!$BX$1,0)),VLOOKUP(J47,Ökobaudat!$D$5:$CK$165,Ökobaudat!$BX$1,0),"")</f>
        <v/>
      </c>
    </row>
    <row r="48" spans="2:31" ht="13.5" x14ac:dyDescent="0.2">
      <c r="B48" s="346">
        <f t="shared" si="16"/>
        <v>106</v>
      </c>
      <c r="C48" s="145" t="str">
        <f t="shared" si="14"/>
        <v>106-;  kg/m³;  W/(mK);  years</v>
      </c>
      <c r="D48" s="348" t="str">
        <f t="shared" si="6"/>
        <v>106</v>
      </c>
      <c r="E48" s="93"/>
      <c r="F48" s="142" t="e">
        <f t="shared" si="7"/>
        <v>#N/A</v>
      </c>
      <c r="G48" s="142" t="e">
        <f t="shared" si="8"/>
        <v>#N/A</v>
      </c>
      <c r="H48" s="94"/>
      <c r="I48" s="133"/>
      <c r="J48" s="133"/>
      <c r="K48" s="137" t="e">
        <f>VLOOKUP(J48,Ökobaudat!$D$5:$CK$165,Ökobaudat!$T$1,0)</f>
        <v>#N/A</v>
      </c>
      <c r="L48" s="136" t="e">
        <f>VLOOKUP(J48,Ökobaudat!$D$5:$CK$165,Ökobaudat!$U$1,0)</f>
        <v>#N/A</v>
      </c>
      <c r="M48" s="93"/>
      <c r="N48" s="139" t="str">
        <f t="shared" si="15"/>
        <v/>
      </c>
      <c r="O48" s="135" t="str">
        <f>IF(ISNUMBER(VLOOKUP(J48,Ökobaudat!$D$5:$CK$165,Ökobaudat!$AA$1,0)),VLOOKUP(J48,Ökobaudat!$D$5:$CK$165,Ökobaudat!$AA$1,0),"")</f>
        <v/>
      </c>
      <c r="P48" s="93"/>
      <c r="Q48" s="135" t="str">
        <f>IF(ISNUMBER(VLOOKUP(J48,Ökobaudat!$D$5:$CK$160,Ökobaudat!$Z$1,0)),VLOOKUP(J48,Ökobaudat!$D$5:$CK$160,Ökobaudat!$Z$1,0),"")</f>
        <v/>
      </c>
      <c r="R48" s="138"/>
      <c r="S48" s="140" t="str">
        <f t="shared" si="9"/>
        <v/>
      </c>
      <c r="T48" s="124">
        <f t="shared" si="13"/>
        <v>1</v>
      </c>
      <c r="U48" s="124" t="e">
        <f>IF(Balance!$H$12=Data!$B$4,W48,V48)</f>
        <v>#N/A</v>
      </c>
      <c r="V48" s="124" t="e">
        <f t="shared" si="10"/>
        <v>#N/A</v>
      </c>
      <c r="W48" s="124" t="e">
        <f t="shared" si="11"/>
        <v>#N/A</v>
      </c>
      <c r="X48" s="124">
        <f t="shared" si="12"/>
        <v>0</v>
      </c>
      <c r="Y48" s="136" t="e">
        <f>VLOOKUP(J48,Ökobaudat!$D$5:$CK$165,Ökobaudat!$AM$1,0)/$Y$7</f>
        <v>#N/A</v>
      </c>
      <c r="Z48" s="136" t="e">
        <f>VLOOKUP(J48,Ökobaudat!$D$5:$CK$165,Ökobaudat!$AN$1,0)/$Y$7</f>
        <v>#N/A</v>
      </c>
      <c r="AA48" s="136" t="e">
        <f>VLOOKUP(J48,Ökobaudat!$D$5:$CK$165,Ökobaudat!$AP$1,0)/$Y$7</f>
        <v>#N/A</v>
      </c>
      <c r="AB48" s="136" t="e">
        <f>VLOOKUP(J48,Ökobaudat!$D$5:$CK$165,Ökobaudat!$AQ$1,0)/$Y$7</f>
        <v>#N/A</v>
      </c>
      <c r="AC48" s="136" t="str">
        <f>IF(ISNUMBER(VLOOKUP(J48,Ökobaudat!$D$5:$CK$165,Ökobaudat!$AF$1,0)),VLOOKUP(J48,Ökobaudat!$D$5:$CK$165,Ökobaudat!$AF$1,0),"")</f>
        <v/>
      </c>
      <c r="AD48" s="136" t="str">
        <f>IF(ISNUMBER(VLOOKUP(J48,Ökobaudat!$D$5:$CK$165,Ökobaudat!$BF$1,0)),VLOOKUP(J48,Ökobaudat!$D$5:$CK$165,Ökobaudat!$BF$1,0),"")</f>
        <v/>
      </c>
      <c r="AE48" s="136" t="str">
        <f>IF(ISTEXT(VLOOKUP(J48,Ökobaudat!$D$5:$CK$165,Ökobaudat!$BX$1,0)),VLOOKUP(J48,Ökobaudat!$D$5:$CK$165,Ökobaudat!$BX$1,0),"")</f>
        <v/>
      </c>
    </row>
    <row r="49" spans="2:31" ht="13.5" x14ac:dyDescent="0.2">
      <c r="B49" s="346">
        <f t="shared" si="16"/>
        <v>107</v>
      </c>
      <c r="C49" s="145" t="str">
        <f t="shared" si="14"/>
        <v>107-;  kg/m³;  W/(mK);  years</v>
      </c>
      <c r="D49" s="348" t="str">
        <f t="shared" si="6"/>
        <v>107</v>
      </c>
      <c r="E49" s="93"/>
      <c r="F49" s="142" t="e">
        <f t="shared" si="7"/>
        <v>#N/A</v>
      </c>
      <c r="G49" s="142" t="e">
        <f t="shared" si="8"/>
        <v>#N/A</v>
      </c>
      <c r="H49" s="94"/>
      <c r="I49" s="133"/>
      <c r="J49" s="133"/>
      <c r="K49" s="137" t="e">
        <f>VLOOKUP(J49,Ökobaudat!$D$5:$CK$165,Ökobaudat!$T$1,0)</f>
        <v>#N/A</v>
      </c>
      <c r="L49" s="136" t="e">
        <f>VLOOKUP(J49,Ökobaudat!$D$5:$CK$165,Ökobaudat!$U$1,0)</f>
        <v>#N/A</v>
      </c>
      <c r="M49" s="93"/>
      <c r="N49" s="139" t="str">
        <f t="shared" si="15"/>
        <v/>
      </c>
      <c r="O49" s="135" t="str">
        <f>IF(ISNUMBER(VLOOKUP(J49,Ökobaudat!$D$5:$CK$165,Ökobaudat!$AA$1,0)),VLOOKUP(J49,Ökobaudat!$D$5:$CK$165,Ökobaudat!$AA$1,0),"")</f>
        <v/>
      </c>
      <c r="P49" s="93"/>
      <c r="Q49" s="135" t="str">
        <f>IF(ISNUMBER(VLOOKUP(J49,Ökobaudat!$D$5:$CK$160,Ökobaudat!$Z$1,0)),VLOOKUP(J49,Ökobaudat!$D$5:$CK$160,Ökobaudat!$Z$1,0),"")</f>
        <v/>
      </c>
      <c r="R49" s="138"/>
      <c r="S49" s="140" t="str">
        <f t="shared" si="9"/>
        <v/>
      </c>
      <c r="T49" s="124">
        <f t="shared" si="13"/>
        <v>1</v>
      </c>
      <c r="U49" s="124" t="e">
        <f>IF(Balance!$H$12=Data!$B$4,W49,V49)</f>
        <v>#N/A</v>
      </c>
      <c r="V49" s="124" t="e">
        <f t="shared" si="10"/>
        <v>#N/A</v>
      </c>
      <c r="W49" s="124" t="e">
        <f t="shared" si="11"/>
        <v>#N/A</v>
      </c>
      <c r="X49" s="124">
        <f t="shared" si="12"/>
        <v>0</v>
      </c>
      <c r="Y49" s="136" t="e">
        <f>VLOOKUP(J49,Ökobaudat!$D$5:$CK$165,Ökobaudat!$AM$1,0)/$Y$7</f>
        <v>#N/A</v>
      </c>
      <c r="Z49" s="136" t="e">
        <f>VLOOKUP(J49,Ökobaudat!$D$5:$CK$165,Ökobaudat!$AN$1,0)/$Y$7</f>
        <v>#N/A</v>
      </c>
      <c r="AA49" s="136" t="e">
        <f>VLOOKUP(J49,Ökobaudat!$D$5:$CK$165,Ökobaudat!$AP$1,0)/$Y$7</f>
        <v>#N/A</v>
      </c>
      <c r="AB49" s="136" t="e">
        <f>VLOOKUP(J49,Ökobaudat!$D$5:$CK$165,Ökobaudat!$AQ$1,0)/$Y$7</f>
        <v>#N/A</v>
      </c>
      <c r="AC49" s="136" t="str">
        <f>IF(ISNUMBER(VLOOKUP(J49,Ökobaudat!$D$5:$CK$165,Ökobaudat!$AF$1,0)),VLOOKUP(J49,Ökobaudat!$D$5:$CK$165,Ökobaudat!$AF$1,0),"")</f>
        <v/>
      </c>
      <c r="AD49" s="136" t="str">
        <f>IF(ISNUMBER(VLOOKUP(J49,Ökobaudat!$D$5:$CK$165,Ökobaudat!$BF$1,0)),VLOOKUP(J49,Ökobaudat!$D$5:$CK$165,Ökobaudat!$BF$1,0),"")</f>
        <v/>
      </c>
      <c r="AE49" s="136" t="str">
        <f>IF(ISTEXT(VLOOKUP(J49,Ökobaudat!$D$5:$CK$165,Ökobaudat!$BX$1,0)),VLOOKUP(J49,Ökobaudat!$D$5:$CK$165,Ökobaudat!$BX$1,0),"")</f>
        <v/>
      </c>
    </row>
    <row r="50" spans="2:31" ht="13.5" x14ac:dyDescent="0.2">
      <c r="B50" s="346">
        <f t="shared" si="16"/>
        <v>108</v>
      </c>
      <c r="C50" s="145" t="str">
        <f t="shared" si="14"/>
        <v>108-;  kg/m³;  W/(mK);  years</v>
      </c>
      <c r="D50" s="348" t="str">
        <f t="shared" si="6"/>
        <v>108</v>
      </c>
      <c r="E50" s="93"/>
      <c r="F50" s="142" t="e">
        <f t="shared" si="7"/>
        <v>#N/A</v>
      </c>
      <c r="G50" s="142" t="e">
        <f t="shared" si="8"/>
        <v>#N/A</v>
      </c>
      <c r="H50" s="94"/>
      <c r="I50" s="133"/>
      <c r="J50" s="133"/>
      <c r="K50" s="137" t="e">
        <f>VLOOKUP(J50,Ökobaudat!$D$5:$CK$165,Ökobaudat!$T$1,0)</f>
        <v>#N/A</v>
      </c>
      <c r="L50" s="136" t="e">
        <f>VLOOKUP(J50,Ökobaudat!$D$5:$CK$165,Ökobaudat!$U$1,0)</f>
        <v>#N/A</v>
      </c>
      <c r="M50" s="93"/>
      <c r="N50" s="139" t="str">
        <f t="shared" si="15"/>
        <v/>
      </c>
      <c r="O50" s="135" t="str">
        <f>IF(ISNUMBER(VLOOKUP(J50,Ökobaudat!$D$5:$CK$165,Ökobaudat!$AA$1,0)),VLOOKUP(J50,Ökobaudat!$D$5:$CK$165,Ökobaudat!$AA$1,0),"")</f>
        <v/>
      </c>
      <c r="P50" s="93"/>
      <c r="Q50" s="135" t="str">
        <f>IF(ISNUMBER(VLOOKUP(J50,Ökobaudat!$D$5:$CK$160,Ökobaudat!$Z$1,0)),VLOOKUP(J50,Ökobaudat!$D$5:$CK$160,Ökobaudat!$Z$1,0),"")</f>
        <v/>
      </c>
      <c r="R50" s="138"/>
      <c r="S50" s="140" t="str">
        <f t="shared" ref="S50:S110" si="17">IF(ISNUMBER(R50),R50,Q50)</f>
        <v/>
      </c>
      <c r="T50" s="124">
        <f t="shared" si="13"/>
        <v>1</v>
      </c>
      <c r="U50" s="124" t="e">
        <f>IF(Balance!$H$12=Data!$B$4,W50,V50)</f>
        <v>#N/A</v>
      </c>
      <c r="V50" s="124" t="e">
        <f t="shared" si="10"/>
        <v>#N/A</v>
      </c>
      <c r="W50" s="124" t="e">
        <f t="shared" si="11"/>
        <v>#N/A</v>
      </c>
      <c r="X50" s="124">
        <f t="shared" si="12"/>
        <v>0</v>
      </c>
      <c r="Y50" s="136" t="e">
        <f>VLOOKUP(J50,Ökobaudat!$D$5:$CK$165,Ökobaudat!$AM$1,0)/$Y$7</f>
        <v>#N/A</v>
      </c>
      <c r="Z50" s="136" t="e">
        <f>VLOOKUP(J50,Ökobaudat!$D$5:$CK$165,Ökobaudat!$AN$1,0)/$Y$7</f>
        <v>#N/A</v>
      </c>
      <c r="AA50" s="136" t="e">
        <f>VLOOKUP(J50,Ökobaudat!$D$5:$CK$165,Ökobaudat!$AP$1,0)/$Y$7</f>
        <v>#N/A</v>
      </c>
      <c r="AB50" s="136" t="e">
        <f>VLOOKUP(J50,Ökobaudat!$D$5:$CK$165,Ökobaudat!$AQ$1,0)/$Y$7</f>
        <v>#N/A</v>
      </c>
      <c r="AC50" s="136" t="str">
        <f>IF(ISNUMBER(VLOOKUP(J50,Ökobaudat!$D$5:$CK$165,Ökobaudat!$AF$1,0)),VLOOKUP(J50,Ökobaudat!$D$5:$CK$165,Ökobaudat!$AF$1,0),"")</f>
        <v/>
      </c>
      <c r="AD50" s="136" t="str">
        <f>IF(ISNUMBER(VLOOKUP(J50,Ökobaudat!$D$5:$CK$165,Ökobaudat!$BF$1,0)),VLOOKUP(J50,Ökobaudat!$D$5:$CK$165,Ökobaudat!$BF$1,0),"")</f>
        <v/>
      </c>
      <c r="AE50" s="136" t="str">
        <f>IF(ISTEXT(VLOOKUP(J50,Ökobaudat!$D$5:$CK$165,Ökobaudat!$BX$1,0)),VLOOKUP(J50,Ökobaudat!$D$5:$CK$165,Ökobaudat!$BX$1,0),"")</f>
        <v/>
      </c>
    </row>
    <row r="51" spans="2:31" ht="13.5" x14ac:dyDescent="0.2">
      <c r="B51" s="346">
        <f t="shared" si="16"/>
        <v>109</v>
      </c>
      <c r="C51" s="145" t="str">
        <f t="shared" si="14"/>
        <v>109-;  kg/m³;  W/(mK);  years</v>
      </c>
      <c r="D51" s="348" t="str">
        <f t="shared" si="6"/>
        <v>109</v>
      </c>
      <c r="E51" s="93"/>
      <c r="F51" s="142" t="e">
        <f t="shared" si="7"/>
        <v>#N/A</v>
      </c>
      <c r="G51" s="142" t="e">
        <f t="shared" si="8"/>
        <v>#N/A</v>
      </c>
      <c r="H51" s="94"/>
      <c r="I51" s="133"/>
      <c r="J51" s="133"/>
      <c r="K51" s="137" t="e">
        <f>VLOOKUP(J51,Ökobaudat!$D$5:$CK$165,Ökobaudat!$T$1,0)</f>
        <v>#N/A</v>
      </c>
      <c r="L51" s="136" t="e">
        <f>VLOOKUP(J51,Ökobaudat!$D$5:$CK$165,Ökobaudat!$U$1,0)</f>
        <v>#N/A</v>
      </c>
      <c r="M51" s="93"/>
      <c r="N51" s="139" t="str">
        <f t="shared" si="15"/>
        <v/>
      </c>
      <c r="O51" s="135" t="str">
        <f>IF(ISNUMBER(VLOOKUP(J51,Ökobaudat!$D$5:$CK$165,Ökobaudat!$AA$1,0)),VLOOKUP(J51,Ökobaudat!$D$5:$CK$165,Ökobaudat!$AA$1,0),"")</f>
        <v/>
      </c>
      <c r="P51" s="93"/>
      <c r="Q51" s="135" t="str">
        <f>IF(ISNUMBER(VLOOKUP(J51,Ökobaudat!$D$5:$CK$160,Ökobaudat!$Z$1,0)),VLOOKUP(J51,Ökobaudat!$D$5:$CK$160,Ökobaudat!$Z$1,0),"")</f>
        <v/>
      </c>
      <c r="R51" s="138"/>
      <c r="S51" s="140" t="str">
        <f t="shared" si="17"/>
        <v/>
      </c>
      <c r="T51" s="124">
        <f t="shared" si="13"/>
        <v>1</v>
      </c>
      <c r="U51" s="124" t="e">
        <f>IF(Balance!$H$12=Data!$B$4,W51,V51)</f>
        <v>#N/A</v>
      </c>
      <c r="V51" s="124" t="e">
        <f t="shared" si="10"/>
        <v>#N/A</v>
      </c>
      <c r="W51" s="124" t="e">
        <f t="shared" si="11"/>
        <v>#N/A</v>
      </c>
      <c r="X51" s="124">
        <f t="shared" si="12"/>
        <v>0</v>
      </c>
      <c r="Y51" s="136" t="e">
        <f>VLOOKUP(J51,Ökobaudat!$D$5:$CK$165,Ökobaudat!$AM$1,0)/$Y$7</f>
        <v>#N/A</v>
      </c>
      <c r="Z51" s="136" t="e">
        <f>VLOOKUP(J51,Ökobaudat!$D$5:$CK$165,Ökobaudat!$AN$1,0)/$Y$7</f>
        <v>#N/A</v>
      </c>
      <c r="AA51" s="136" t="e">
        <f>VLOOKUP(J51,Ökobaudat!$D$5:$CK$165,Ökobaudat!$AP$1,0)/$Y$7</f>
        <v>#N/A</v>
      </c>
      <c r="AB51" s="136" t="e">
        <f>VLOOKUP(J51,Ökobaudat!$D$5:$CK$165,Ökobaudat!$AQ$1,0)/$Y$7</f>
        <v>#N/A</v>
      </c>
      <c r="AC51" s="136" t="str">
        <f>IF(ISNUMBER(VLOOKUP(J51,Ökobaudat!$D$5:$CK$165,Ökobaudat!$AF$1,0)),VLOOKUP(J51,Ökobaudat!$D$5:$CK$165,Ökobaudat!$AF$1,0),"")</f>
        <v/>
      </c>
      <c r="AD51" s="136" t="str">
        <f>IF(ISNUMBER(VLOOKUP(J51,Ökobaudat!$D$5:$CK$165,Ökobaudat!$BF$1,0)),VLOOKUP(J51,Ökobaudat!$D$5:$CK$165,Ökobaudat!$BF$1,0),"")</f>
        <v/>
      </c>
      <c r="AE51" s="136" t="str">
        <f>IF(ISTEXT(VLOOKUP(J51,Ökobaudat!$D$5:$CK$165,Ökobaudat!$BX$1,0)),VLOOKUP(J51,Ökobaudat!$D$5:$CK$165,Ökobaudat!$BX$1,0),"")</f>
        <v/>
      </c>
    </row>
    <row r="52" spans="2:31" ht="13.5" x14ac:dyDescent="0.2">
      <c r="B52" s="346">
        <f t="shared" si="16"/>
        <v>110</v>
      </c>
      <c r="C52" s="145" t="str">
        <f t="shared" si="14"/>
        <v>110-;  kg/m³;  W/(mK);  years</v>
      </c>
      <c r="D52" s="348" t="str">
        <f t="shared" si="6"/>
        <v>110</v>
      </c>
      <c r="E52" s="93"/>
      <c r="F52" s="142" t="e">
        <f t="shared" si="7"/>
        <v>#N/A</v>
      </c>
      <c r="G52" s="142" t="e">
        <f t="shared" si="8"/>
        <v>#N/A</v>
      </c>
      <c r="H52" s="94"/>
      <c r="I52" s="133"/>
      <c r="J52" s="133"/>
      <c r="K52" s="137" t="e">
        <f>VLOOKUP(J52,Ökobaudat!$D$5:$CK$165,Ökobaudat!$T$1,0)</f>
        <v>#N/A</v>
      </c>
      <c r="L52" s="136" t="e">
        <f>VLOOKUP(J52,Ökobaudat!$D$5:$CK$165,Ökobaudat!$U$1,0)</f>
        <v>#N/A</v>
      </c>
      <c r="M52" s="93"/>
      <c r="N52" s="139" t="str">
        <f t="shared" si="15"/>
        <v/>
      </c>
      <c r="O52" s="135" t="str">
        <f>IF(ISNUMBER(VLOOKUP(J52,Ökobaudat!$D$5:$CK$165,Ökobaudat!$AA$1,0)),VLOOKUP(J52,Ökobaudat!$D$5:$CK$165,Ökobaudat!$AA$1,0),"")</f>
        <v/>
      </c>
      <c r="P52" s="93"/>
      <c r="Q52" s="135" t="str">
        <f>IF(ISNUMBER(VLOOKUP(J52,Ökobaudat!$D$5:$CK$160,Ökobaudat!$Z$1,0)),VLOOKUP(J52,Ökobaudat!$D$5:$CK$160,Ökobaudat!$Z$1,0),"")</f>
        <v/>
      </c>
      <c r="R52" s="138"/>
      <c r="S52" s="140" t="str">
        <f t="shared" si="17"/>
        <v/>
      </c>
      <c r="T52" s="124">
        <f t="shared" si="13"/>
        <v>1</v>
      </c>
      <c r="U52" s="124" t="e">
        <f>IF(Balance!$H$12=Data!$B$4,W52,V52)</f>
        <v>#N/A</v>
      </c>
      <c r="V52" s="124" t="e">
        <f t="shared" si="10"/>
        <v>#N/A</v>
      </c>
      <c r="W52" s="124" t="e">
        <f t="shared" si="11"/>
        <v>#N/A</v>
      </c>
      <c r="X52" s="124">
        <f t="shared" si="12"/>
        <v>0</v>
      </c>
      <c r="Y52" s="136" t="e">
        <f>VLOOKUP(J52,Ökobaudat!$D$5:$CK$165,Ökobaudat!$AM$1,0)/$Y$7</f>
        <v>#N/A</v>
      </c>
      <c r="Z52" s="136" t="e">
        <f>VLOOKUP(J52,Ökobaudat!$D$5:$CK$165,Ökobaudat!$AN$1,0)/$Y$7</f>
        <v>#N/A</v>
      </c>
      <c r="AA52" s="136" t="e">
        <f>VLOOKUP(J52,Ökobaudat!$D$5:$CK$165,Ökobaudat!$AP$1,0)/$Y$7</f>
        <v>#N/A</v>
      </c>
      <c r="AB52" s="136" t="e">
        <f>VLOOKUP(J52,Ökobaudat!$D$5:$CK$165,Ökobaudat!$AQ$1,0)/$Y$7</f>
        <v>#N/A</v>
      </c>
      <c r="AC52" s="136" t="str">
        <f>IF(ISNUMBER(VLOOKUP(J52,Ökobaudat!$D$5:$CK$165,Ökobaudat!$AF$1,0)),VLOOKUP(J52,Ökobaudat!$D$5:$CK$165,Ökobaudat!$AF$1,0),"")</f>
        <v/>
      </c>
      <c r="AD52" s="136" t="str">
        <f>IF(ISNUMBER(VLOOKUP(J52,Ökobaudat!$D$5:$CK$165,Ökobaudat!$BF$1,0)),VLOOKUP(J52,Ökobaudat!$D$5:$CK$165,Ökobaudat!$BF$1,0),"")</f>
        <v/>
      </c>
      <c r="AE52" s="136" t="str">
        <f>IF(ISTEXT(VLOOKUP(J52,Ökobaudat!$D$5:$CK$165,Ökobaudat!$BX$1,0)),VLOOKUP(J52,Ökobaudat!$D$5:$CK$165,Ökobaudat!$BX$1,0),"")</f>
        <v/>
      </c>
    </row>
    <row r="53" spans="2:31" ht="13.5" x14ac:dyDescent="0.2">
      <c r="B53" s="346">
        <f t="shared" si="16"/>
        <v>111</v>
      </c>
      <c r="C53" s="145" t="str">
        <f t="shared" si="14"/>
        <v>111-;  kg/m³;  W/(mK);  years</v>
      </c>
      <c r="D53" s="348" t="str">
        <f t="shared" si="6"/>
        <v>111</v>
      </c>
      <c r="E53" s="93"/>
      <c r="F53" s="142" t="e">
        <f t="shared" si="7"/>
        <v>#N/A</v>
      </c>
      <c r="G53" s="142" t="e">
        <f t="shared" si="8"/>
        <v>#N/A</v>
      </c>
      <c r="H53" s="94"/>
      <c r="I53" s="133"/>
      <c r="J53" s="133"/>
      <c r="K53" s="137" t="e">
        <f>VLOOKUP(J53,Ökobaudat!$D$5:$CK$165,Ökobaudat!$T$1,0)</f>
        <v>#N/A</v>
      </c>
      <c r="L53" s="136" t="e">
        <f>VLOOKUP(J53,Ökobaudat!$D$5:$CK$165,Ökobaudat!$U$1,0)</f>
        <v>#N/A</v>
      </c>
      <c r="M53" s="93"/>
      <c r="N53" s="139" t="str">
        <f t="shared" si="15"/>
        <v/>
      </c>
      <c r="O53" s="135" t="str">
        <f>IF(ISNUMBER(VLOOKUP(J53,Ökobaudat!$D$5:$CK$165,Ökobaudat!$AA$1,0)),VLOOKUP(J53,Ökobaudat!$D$5:$CK$165,Ökobaudat!$AA$1,0),"")</f>
        <v/>
      </c>
      <c r="P53" s="93"/>
      <c r="Q53" s="135" t="str">
        <f>IF(ISNUMBER(VLOOKUP(J53,Ökobaudat!$D$5:$CK$160,Ökobaudat!$Z$1,0)),VLOOKUP(J53,Ökobaudat!$D$5:$CK$160,Ökobaudat!$Z$1,0),"")</f>
        <v/>
      </c>
      <c r="R53" s="138"/>
      <c r="S53" s="140" t="str">
        <f t="shared" si="17"/>
        <v/>
      </c>
      <c r="T53" s="124">
        <f t="shared" si="13"/>
        <v>1</v>
      </c>
      <c r="U53" s="124" t="e">
        <f>IF(Balance!$H$12=Data!$B$4,W53,V53)</f>
        <v>#N/A</v>
      </c>
      <c r="V53" s="124" t="e">
        <f t="shared" si="10"/>
        <v>#N/A</v>
      </c>
      <c r="W53" s="124" t="e">
        <f t="shared" si="11"/>
        <v>#N/A</v>
      </c>
      <c r="X53" s="124">
        <f t="shared" si="12"/>
        <v>0</v>
      </c>
      <c r="Y53" s="136" t="e">
        <f>VLOOKUP(J53,Ökobaudat!$D$5:$CK$165,Ökobaudat!$AM$1,0)/$Y$7</f>
        <v>#N/A</v>
      </c>
      <c r="Z53" s="136" t="e">
        <f>VLOOKUP(J53,Ökobaudat!$D$5:$CK$165,Ökobaudat!$AN$1,0)/$Y$7</f>
        <v>#N/A</v>
      </c>
      <c r="AA53" s="136" t="e">
        <f>VLOOKUP(J53,Ökobaudat!$D$5:$CK$165,Ökobaudat!$AP$1,0)/$Y$7</f>
        <v>#N/A</v>
      </c>
      <c r="AB53" s="136" t="e">
        <f>VLOOKUP(J53,Ökobaudat!$D$5:$CK$165,Ökobaudat!$AQ$1,0)/$Y$7</f>
        <v>#N/A</v>
      </c>
      <c r="AC53" s="136" t="str">
        <f>IF(ISNUMBER(VLOOKUP(J53,Ökobaudat!$D$5:$CK$165,Ökobaudat!$AF$1,0)),VLOOKUP(J53,Ökobaudat!$D$5:$CK$165,Ökobaudat!$AF$1,0),"")</f>
        <v/>
      </c>
      <c r="AD53" s="136" t="str">
        <f>IF(ISNUMBER(VLOOKUP(J53,Ökobaudat!$D$5:$CK$165,Ökobaudat!$BF$1,0)),VLOOKUP(J53,Ökobaudat!$D$5:$CK$165,Ökobaudat!$BF$1,0),"")</f>
        <v/>
      </c>
      <c r="AE53" s="136" t="str">
        <f>IF(ISTEXT(VLOOKUP(J53,Ökobaudat!$D$5:$CK$165,Ökobaudat!$BX$1,0)),VLOOKUP(J53,Ökobaudat!$D$5:$CK$165,Ökobaudat!$BX$1,0),"")</f>
        <v/>
      </c>
    </row>
    <row r="54" spans="2:31" ht="13.5" x14ac:dyDescent="0.2">
      <c r="B54" s="346">
        <f t="shared" si="16"/>
        <v>112</v>
      </c>
      <c r="C54" s="145" t="str">
        <f t="shared" si="14"/>
        <v>112-Gypsum plaster board (impregnated, 12.5 mm);  kg/m³; 0.25 W/(mK); 40 years</v>
      </c>
      <c r="D54" s="348" t="str">
        <f t="shared" si="6"/>
        <v>112</v>
      </c>
      <c r="E54" s="93">
        <v>0.25</v>
      </c>
      <c r="F54" s="142">
        <f t="shared" si="7"/>
        <v>1070.8637995403842</v>
      </c>
      <c r="G54" s="142">
        <f t="shared" si="8"/>
        <v>138.92307717733519</v>
      </c>
      <c r="H54" s="94">
        <v>40</v>
      </c>
      <c r="I54" s="133"/>
      <c r="J54" s="133" t="s">
        <v>517</v>
      </c>
      <c r="K54" s="137">
        <f>VLOOKUP(J54,Ökobaudat!$D$5:$CK$165,Ökobaudat!$T$1,0)</f>
        <v>1</v>
      </c>
      <c r="L54" s="136" t="str">
        <f>VLOOKUP(J54,Ökobaudat!$D$5:$CK$165,Ökobaudat!$U$1,0)</f>
        <v>qm</v>
      </c>
      <c r="M54" s="93">
        <v>12.5</v>
      </c>
      <c r="N54" s="139">
        <f t="shared" si="15"/>
        <v>1.2500000000000001E-2</v>
      </c>
      <c r="O54" s="135" t="str">
        <f>IF(ISNUMBER(VLOOKUP(J54,Ökobaudat!$D$5:$CK$165,Ökobaudat!$AA$1,0)),VLOOKUP(J54,Ökobaudat!$D$5:$CK$165,Ökobaudat!$AA$1,0),"")</f>
        <v/>
      </c>
      <c r="P54" s="93"/>
      <c r="Q54" s="135" t="str">
        <f>IF(ISNUMBER(VLOOKUP(J54,Ökobaudat!$D$5:$CK$160,Ökobaudat!$Z$1,0)),VLOOKUP(J54,Ökobaudat!$D$5:$CK$160,Ökobaudat!$Z$1,0),"")</f>
        <v/>
      </c>
      <c r="R54" s="138"/>
      <c r="S54" s="140" t="str">
        <f t="shared" si="17"/>
        <v/>
      </c>
      <c r="T54" s="124">
        <f t="shared" si="13"/>
        <v>1</v>
      </c>
      <c r="U54" s="124">
        <f>IF(Balance!$H$12=Data!$B$4,W54,V54)</f>
        <v>13.385797494254803</v>
      </c>
      <c r="V54" s="124">
        <f t="shared" si="10"/>
        <v>13.385797494254803</v>
      </c>
      <c r="W54" s="124">
        <f t="shared" si="11"/>
        <v>13.385797494254803</v>
      </c>
      <c r="X54" s="124">
        <f t="shared" si="12"/>
        <v>1.7365384647166899</v>
      </c>
      <c r="Y54" s="136">
        <f>VLOOKUP(J54,Ökobaudat!$D$5:$CK$165,Ökobaudat!$AM$1,0)/$Y$7</f>
        <v>3.0714338971328052</v>
      </c>
      <c r="Z54" s="136">
        <f>VLOOKUP(J54,Ökobaudat!$D$5:$CK$165,Ökobaudat!$AN$1,0)/$Y$7</f>
        <v>0</v>
      </c>
      <c r="AA54" s="136">
        <f>VLOOKUP(J54,Ökobaudat!$D$5:$CK$165,Ökobaudat!$AP$1,0)/$Y$7</f>
        <v>10.314363597121998</v>
      </c>
      <c r="AB54" s="136">
        <f>VLOOKUP(J54,Ökobaudat!$D$5:$CK$165,Ökobaudat!$AQ$1,0)/$Y$7</f>
        <v>0</v>
      </c>
      <c r="AC54" s="136" t="str">
        <f>IF(ISNUMBER(VLOOKUP(J54,Ökobaudat!$D$5:$CK$165,Ökobaudat!$AF$1,0)),VLOOKUP(J54,Ökobaudat!$D$5:$CK$165,Ökobaudat!$AF$1,0),"")</f>
        <v/>
      </c>
      <c r="AD54" s="136">
        <f>IF(ISNUMBER(VLOOKUP(J54,Ökobaudat!$D$5:$CK$165,Ökobaudat!$BF$1,0)),VLOOKUP(J54,Ökobaudat!$D$5:$CK$165,Ökobaudat!$BF$1,0),"")</f>
        <v>1.7365384647166899</v>
      </c>
      <c r="AE54" s="136" t="str">
        <f>IF(ISTEXT(VLOOKUP(J54,Ökobaudat!$D$5:$CK$165,Ökobaudat!$BX$1,0)),VLOOKUP(J54,Ökobaudat!$D$5:$CK$165,Ökobaudat!$BX$1,0),"")</f>
        <v/>
      </c>
    </row>
    <row r="55" spans="2:31" ht="13.5" x14ac:dyDescent="0.2">
      <c r="B55" s="346">
        <f t="shared" si="16"/>
        <v>113</v>
      </c>
      <c r="C55" s="145" t="str">
        <f t="shared" si="14"/>
        <v>113-;  kg/m³;  W/(mK);  years</v>
      </c>
      <c r="D55" s="348" t="str">
        <f t="shared" si="6"/>
        <v>113</v>
      </c>
      <c r="E55" s="93"/>
      <c r="F55" s="142" t="e">
        <f t="shared" si="7"/>
        <v>#N/A</v>
      </c>
      <c r="G55" s="142" t="e">
        <f t="shared" si="8"/>
        <v>#N/A</v>
      </c>
      <c r="H55" s="94"/>
      <c r="I55" s="133"/>
      <c r="J55" s="133"/>
      <c r="K55" s="137" t="e">
        <f>VLOOKUP(J55,Ökobaudat!$D$5:$CK$165,Ökobaudat!$T$1,0)</f>
        <v>#N/A</v>
      </c>
      <c r="L55" s="136" t="e">
        <f>VLOOKUP(J55,Ökobaudat!$D$5:$CK$165,Ökobaudat!$U$1,0)</f>
        <v>#N/A</v>
      </c>
      <c r="M55" s="93"/>
      <c r="N55" s="139" t="str">
        <f t="shared" si="15"/>
        <v/>
      </c>
      <c r="O55" s="135" t="str">
        <f>IF(ISNUMBER(VLOOKUP(J55,Ökobaudat!$D$5:$CK$165,Ökobaudat!$AA$1,0)),VLOOKUP(J55,Ökobaudat!$D$5:$CK$165,Ökobaudat!$AA$1,0),"")</f>
        <v/>
      </c>
      <c r="P55" s="93"/>
      <c r="Q55" s="135" t="str">
        <f>IF(ISNUMBER(VLOOKUP(J55,Ökobaudat!$D$5:$CK$160,Ökobaudat!$Z$1,0)),VLOOKUP(J55,Ökobaudat!$D$5:$CK$160,Ökobaudat!$Z$1,0),"")</f>
        <v/>
      </c>
      <c r="R55" s="138"/>
      <c r="S55" s="140" t="str">
        <f t="shared" si="17"/>
        <v/>
      </c>
      <c r="T55" s="124">
        <f t="shared" si="13"/>
        <v>1</v>
      </c>
      <c r="U55" s="124" t="e">
        <f>IF(Balance!$H$12=Data!$B$4,W55,V55)</f>
        <v>#N/A</v>
      </c>
      <c r="V55" s="124" t="e">
        <f t="shared" si="10"/>
        <v>#N/A</v>
      </c>
      <c r="W55" s="124" t="e">
        <f t="shared" si="11"/>
        <v>#N/A</v>
      </c>
      <c r="X55" s="124">
        <f t="shared" si="12"/>
        <v>0</v>
      </c>
      <c r="Y55" s="136" t="e">
        <f>VLOOKUP(J55,Ökobaudat!$D$5:$CK$165,Ökobaudat!$AM$1,0)/$Y$7</f>
        <v>#N/A</v>
      </c>
      <c r="Z55" s="136" t="e">
        <f>VLOOKUP(J55,Ökobaudat!$D$5:$CK$165,Ökobaudat!$AN$1,0)/$Y$7</f>
        <v>#N/A</v>
      </c>
      <c r="AA55" s="136" t="e">
        <f>VLOOKUP(J55,Ökobaudat!$D$5:$CK$165,Ökobaudat!$AP$1,0)/$Y$7</f>
        <v>#N/A</v>
      </c>
      <c r="AB55" s="136" t="e">
        <f>VLOOKUP(J55,Ökobaudat!$D$5:$CK$165,Ökobaudat!$AQ$1,0)/$Y$7</f>
        <v>#N/A</v>
      </c>
      <c r="AC55" s="136" t="str">
        <f>IF(ISNUMBER(VLOOKUP(J55,Ökobaudat!$D$5:$CK$165,Ökobaudat!$AF$1,0)),VLOOKUP(J55,Ökobaudat!$D$5:$CK$165,Ökobaudat!$AF$1,0),"")</f>
        <v/>
      </c>
      <c r="AD55" s="136" t="str">
        <f>IF(ISNUMBER(VLOOKUP(J55,Ökobaudat!$D$5:$CK$165,Ökobaudat!$BF$1,0)),VLOOKUP(J55,Ökobaudat!$D$5:$CK$165,Ökobaudat!$BF$1,0),"")</f>
        <v/>
      </c>
      <c r="AE55" s="136" t="str">
        <f>IF(ISTEXT(VLOOKUP(J55,Ökobaudat!$D$5:$CK$165,Ökobaudat!$BX$1,0)),VLOOKUP(J55,Ökobaudat!$D$5:$CK$165,Ökobaudat!$BX$1,0),"")</f>
        <v/>
      </c>
    </row>
    <row r="56" spans="2:31" ht="13.5" x14ac:dyDescent="0.2">
      <c r="B56" s="346">
        <f t="shared" si="16"/>
        <v>114</v>
      </c>
      <c r="C56" s="145" t="str">
        <f t="shared" si="14"/>
        <v>114-;  kg/m³;  W/(mK);  years</v>
      </c>
      <c r="D56" s="348" t="str">
        <f t="shared" si="6"/>
        <v>114</v>
      </c>
      <c r="E56" s="93"/>
      <c r="F56" s="142" t="e">
        <f t="shared" si="7"/>
        <v>#N/A</v>
      </c>
      <c r="G56" s="142" t="e">
        <f t="shared" si="8"/>
        <v>#N/A</v>
      </c>
      <c r="H56" s="94"/>
      <c r="I56" s="133"/>
      <c r="J56" s="133"/>
      <c r="K56" s="137" t="e">
        <f>VLOOKUP(J56,Ökobaudat!$D$5:$CK$165,Ökobaudat!$T$1,0)</f>
        <v>#N/A</v>
      </c>
      <c r="L56" s="136" t="e">
        <f>VLOOKUP(J56,Ökobaudat!$D$5:$CK$165,Ökobaudat!$U$1,0)</f>
        <v>#N/A</v>
      </c>
      <c r="M56" s="93"/>
      <c r="N56" s="139" t="str">
        <f t="shared" si="15"/>
        <v/>
      </c>
      <c r="O56" s="135" t="str">
        <f>IF(ISNUMBER(VLOOKUP(J56,Ökobaudat!$D$5:$CK$165,Ökobaudat!$AA$1,0)),VLOOKUP(J56,Ökobaudat!$D$5:$CK$165,Ökobaudat!$AA$1,0),"")</f>
        <v/>
      </c>
      <c r="P56" s="93"/>
      <c r="Q56" s="135" t="str">
        <f>IF(ISNUMBER(VLOOKUP(J56,Ökobaudat!$D$5:$CK$160,Ökobaudat!$Z$1,0)),VLOOKUP(J56,Ökobaudat!$D$5:$CK$160,Ökobaudat!$Z$1,0),"")</f>
        <v/>
      </c>
      <c r="R56" s="138"/>
      <c r="S56" s="140" t="str">
        <f t="shared" si="17"/>
        <v/>
      </c>
      <c r="T56" s="124">
        <f t="shared" si="13"/>
        <v>1</v>
      </c>
      <c r="U56" s="124" t="e">
        <f>IF(Balance!$H$12=Data!$B$4,W56,V56)</f>
        <v>#N/A</v>
      </c>
      <c r="V56" s="124" t="e">
        <f t="shared" si="10"/>
        <v>#N/A</v>
      </c>
      <c r="W56" s="124" t="e">
        <f t="shared" si="11"/>
        <v>#N/A</v>
      </c>
      <c r="X56" s="124">
        <f t="shared" si="12"/>
        <v>0</v>
      </c>
      <c r="Y56" s="136" t="e">
        <f>VLOOKUP(J56,Ökobaudat!$D$5:$CK$165,Ökobaudat!$AM$1,0)/$Y$7</f>
        <v>#N/A</v>
      </c>
      <c r="Z56" s="136" t="e">
        <f>VLOOKUP(J56,Ökobaudat!$D$5:$CK$165,Ökobaudat!$AN$1,0)/$Y$7</f>
        <v>#N/A</v>
      </c>
      <c r="AA56" s="136" t="e">
        <f>VLOOKUP(J56,Ökobaudat!$D$5:$CK$165,Ökobaudat!$AP$1,0)/$Y$7</f>
        <v>#N/A</v>
      </c>
      <c r="AB56" s="136" t="e">
        <f>VLOOKUP(J56,Ökobaudat!$D$5:$CK$165,Ökobaudat!$AQ$1,0)/$Y$7</f>
        <v>#N/A</v>
      </c>
      <c r="AC56" s="136" t="str">
        <f>IF(ISNUMBER(VLOOKUP(J56,Ökobaudat!$D$5:$CK$165,Ökobaudat!$AF$1,0)),VLOOKUP(J56,Ökobaudat!$D$5:$CK$165,Ökobaudat!$AF$1,0),"")</f>
        <v/>
      </c>
      <c r="AD56" s="136" t="str">
        <f>IF(ISNUMBER(VLOOKUP(J56,Ökobaudat!$D$5:$CK$165,Ökobaudat!$BF$1,0)),VLOOKUP(J56,Ökobaudat!$D$5:$CK$165,Ökobaudat!$BF$1,0),"")</f>
        <v/>
      </c>
      <c r="AE56" s="136" t="str">
        <f>IF(ISTEXT(VLOOKUP(J56,Ökobaudat!$D$5:$CK$165,Ökobaudat!$BX$1,0)),VLOOKUP(J56,Ökobaudat!$D$5:$CK$165,Ökobaudat!$BX$1,0),"")</f>
        <v/>
      </c>
    </row>
    <row r="57" spans="2:31" ht="13.5" x14ac:dyDescent="0.2">
      <c r="B57" s="346">
        <f t="shared" si="16"/>
        <v>115</v>
      </c>
      <c r="C57" s="145" t="str">
        <f t="shared" si="14"/>
        <v>115-;  kg/m³;  W/(mK);  years</v>
      </c>
      <c r="D57" s="348" t="str">
        <f t="shared" si="6"/>
        <v>115</v>
      </c>
      <c r="E57" s="93"/>
      <c r="F57" s="142" t="e">
        <f t="shared" si="7"/>
        <v>#N/A</v>
      </c>
      <c r="G57" s="142" t="e">
        <f t="shared" si="8"/>
        <v>#N/A</v>
      </c>
      <c r="H57" s="94"/>
      <c r="I57" s="133"/>
      <c r="J57" s="133"/>
      <c r="K57" s="137" t="e">
        <f>VLOOKUP(J57,Ökobaudat!$D$5:$CK$165,Ökobaudat!$T$1,0)</f>
        <v>#N/A</v>
      </c>
      <c r="L57" s="136" t="e">
        <f>VLOOKUP(J57,Ökobaudat!$D$5:$CK$165,Ökobaudat!$U$1,0)</f>
        <v>#N/A</v>
      </c>
      <c r="M57" s="93"/>
      <c r="N57" s="139" t="str">
        <f t="shared" si="15"/>
        <v/>
      </c>
      <c r="O57" s="135" t="str">
        <f>IF(ISNUMBER(VLOOKUP(J57,Ökobaudat!$D$5:$CK$165,Ökobaudat!$AA$1,0)),VLOOKUP(J57,Ökobaudat!$D$5:$CK$165,Ökobaudat!$AA$1,0),"")</f>
        <v/>
      </c>
      <c r="P57" s="93"/>
      <c r="Q57" s="135" t="str">
        <f>IF(ISNUMBER(VLOOKUP(J57,Ökobaudat!$D$5:$CK$160,Ökobaudat!$Z$1,0)),VLOOKUP(J57,Ökobaudat!$D$5:$CK$160,Ökobaudat!$Z$1,0),"")</f>
        <v/>
      </c>
      <c r="R57" s="138"/>
      <c r="S57" s="140" t="str">
        <f t="shared" si="17"/>
        <v/>
      </c>
      <c r="T57" s="124">
        <f t="shared" si="13"/>
        <v>1</v>
      </c>
      <c r="U57" s="124" t="e">
        <f>IF(Balance!$H$12=Data!$B$4,W57,V57)</f>
        <v>#N/A</v>
      </c>
      <c r="V57" s="124" t="e">
        <f t="shared" si="10"/>
        <v>#N/A</v>
      </c>
      <c r="W57" s="124" t="e">
        <f t="shared" si="11"/>
        <v>#N/A</v>
      </c>
      <c r="X57" s="124">
        <f t="shared" si="12"/>
        <v>0</v>
      </c>
      <c r="Y57" s="136" t="e">
        <f>VLOOKUP(J57,Ökobaudat!$D$5:$CK$165,Ökobaudat!$AM$1,0)/$Y$7</f>
        <v>#N/A</v>
      </c>
      <c r="Z57" s="136" t="e">
        <f>VLOOKUP(J57,Ökobaudat!$D$5:$CK$165,Ökobaudat!$AN$1,0)/$Y$7</f>
        <v>#N/A</v>
      </c>
      <c r="AA57" s="136" t="e">
        <f>VLOOKUP(J57,Ökobaudat!$D$5:$CK$165,Ökobaudat!$AP$1,0)/$Y$7</f>
        <v>#N/A</v>
      </c>
      <c r="AB57" s="136" t="e">
        <f>VLOOKUP(J57,Ökobaudat!$D$5:$CK$165,Ökobaudat!$AQ$1,0)/$Y$7</f>
        <v>#N/A</v>
      </c>
      <c r="AC57" s="136" t="str">
        <f>IF(ISNUMBER(VLOOKUP(J57,Ökobaudat!$D$5:$CK$165,Ökobaudat!$AF$1,0)),VLOOKUP(J57,Ökobaudat!$D$5:$CK$165,Ökobaudat!$AF$1,0),"")</f>
        <v/>
      </c>
      <c r="AD57" s="136" t="str">
        <f>IF(ISNUMBER(VLOOKUP(J57,Ökobaudat!$D$5:$CK$165,Ökobaudat!$BF$1,0)),VLOOKUP(J57,Ökobaudat!$D$5:$CK$165,Ökobaudat!$BF$1,0),"")</f>
        <v/>
      </c>
      <c r="AE57" s="136" t="str">
        <f>IF(ISTEXT(VLOOKUP(J57,Ökobaudat!$D$5:$CK$165,Ökobaudat!$BX$1,0)),VLOOKUP(J57,Ökobaudat!$D$5:$CK$165,Ökobaudat!$BX$1,0),"")</f>
        <v/>
      </c>
    </row>
    <row r="58" spans="2:31" ht="13.5" x14ac:dyDescent="0.2">
      <c r="B58" s="346">
        <f t="shared" si="16"/>
        <v>116</v>
      </c>
      <c r="C58" s="145" t="str">
        <f t="shared" si="14"/>
        <v>116-;  kg/m³;  W/(mK);  years</v>
      </c>
      <c r="D58" s="348" t="str">
        <f t="shared" si="6"/>
        <v>116</v>
      </c>
      <c r="E58" s="93"/>
      <c r="F58" s="142" t="e">
        <f t="shared" si="7"/>
        <v>#N/A</v>
      </c>
      <c r="G58" s="142" t="e">
        <f t="shared" si="8"/>
        <v>#N/A</v>
      </c>
      <c r="H58" s="94"/>
      <c r="I58" s="133"/>
      <c r="J58" s="133"/>
      <c r="K58" s="137" t="e">
        <f>VLOOKUP(J58,Ökobaudat!$D$5:$CK$165,Ökobaudat!$T$1,0)</f>
        <v>#N/A</v>
      </c>
      <c r="L58" s="136" t="e">
        <f>VLOOKUP(J58,Ökobaudat!$D$5:$CK$165,Ökobaudat!$U$1,0)</f>
        <v>#N/A</v>
      </c>
      <c r="M58" s="93"/>
      <c r="N58" s="139" t="str">
        <f t="shared" si="15"/>
        <v/>
      </c>
      <c r="O58" s="135" t="str">
        <f>IF(ISNUMBER(VLOOKUP(J58,Ökobaudat!$D$5:$CK$165,Ökobaudat!$AA$1,0)),VLOOKUP(J58,Ökobaudat!$D$5:$CK$165,Ökobaudat!$AA$1,0),"")</f>
        <v/>
      </c>
      <c r="P58" s="93"/>
      <c r="Q58" s="135" t="str">
        <f>IF(ISNUMBER(VLOOKUP(J58,Ökobaudat!$D$5:$CK$160,Ökobaudat!$Z$1,0)),VLOOKUP(J58,Ökobaudat!$D$5:$CK$160,Ökobaudat!$Z$1,0),"")</f>
        <v/>
      </c>
      <c r="R58" s="138"/>
      <c r="S58" s="140" t="str">
        <f t="shared" si="17"/>
        <v/>
      </c>
      <c r="T58" s="124">
        <f t="shared" si="13"/>
        <v>1</v>
      </c>
      <c r="U58" s="124" t="e">
        <f>IF(Balance!$H$12=Data!$B$4,W58,V58)</f>
        <v>#N/A</v>
      </c>
      <c r="V58" s="124" t="e">
        <f t="shared" si="10"/>
        <v>#N/A</v>
      </c>
      <c r="W58" s="124" t="e">
        <f t="shared" si="11"/>
        <v>#N/A</v>
      </c>
      <c r="X58" s="124">
        <f t="shared" si="12"/>
        <v>0</v>
      </c>
      <c r="Y58" s="136" t="e">
        <f>VLOOKUP(J58,Ökobaudat!$D$5:$CK$165,Ökobaudat!$AM$1,0)/$Y$7</f>
        <v>#N/A</v>
      </c>
      <c r="Z58" s="136" t="e">
        <f>VLOOKUP(J58,Ökobaudat!$D$5:$CK$165,Ökobaudat!$AN$1,0)/$Y$7</f>
        <v>#N/A</v>
      </c>
      <c r="AA58" s="136" t="e">
        <f>VLOOKUP(J58,Ökobaudat!$D$5:$CK$165,Ökobaudat!$AP$1,0)/$Y$7</f>
        <v>#N/A</v>
      </c>
      <c r="AB58" s="136" t="e">
        <f>VLOOKUP(J58,Ökobaudat!$D$5:$CK$165,Ökobaudat!$AQ$1,0)/$Y$7</f>
        <v>#N/A</v>
      </c>
      <c r="AC58" s="136" t="str">
        <f>IF(ISNUMBER(VLOOKUP(J58,Ökobaudat!$D$5:$CK$165,Ökobaudat!$AF$1,0)),VLOOKUP(J58,Ökobaudat!$D$5:$CK$165,Ökobaudat!$AF$1,0),"")</f>
        <v/>
      </c>
      <c r="AD58" s="136" t="str">
        <f>IF(ISNUMBER(VLOOKUP(J58,Ökobaudat!$D$5:$CK$165,Ökobaudat!$BF$1,0)),VLOOKUP(J58,Ökobaudat!$D$5:$CK$165,Ökobaudat!$BF$1,0),"")</f>
        <v/>
      </c>
      <c r="AE58" s="136" t="str">
        <f>IF(ISTEXT(VLOOKUP(J58,Ökobaudat!$D$5:$CK$165,Ökobaudat!$BX$1,0)),VLOOKUP(J58,Ökobaudat!$D$5:$CK$165,Ökobaudat!$BX$1,0),"")</f>
        <v/>
      </c>
    </row>
    <row r="59" spans="2:31" ht="13.5" x14ac:dyDescent="0.2">
      <c r="B59" s="346">
        <f t="shared" si="16"/>
        <v>117</v>
      </c>
      <c r="C59" s="145" t="str">
        <f t="shared" si="14"/>
        <v>117-;  kg/m³;  W/(mK);  years</v>
      </c>
      <c r="D59" s="348" t="str">
        <f t="shared" si="6"/>
        <v>117</v>
      </c>
      <c r="E59" s="93"/>
      <c r="F59" s="142" t="e">
        <f t="shared" si="7"/>
        <v>#N/A</v>
      </c>
      <c r="G59" s="142" t="e">
        <f t="shared" si="8"/>
        <v>#N/A</v>
      </c>
      <c r="H59" s="94"/>
      <c r="I59" s="133"/>
      <c r="J59" s="133"/>
      <c r="K59" s="137" t="e">
        <f>VLOOKUP(J59,Ökobaudat!$D$5:$CK$165,Ökobaudat!$T$1,0)</f>
        <v>#N/A</v>
      </c>
      <c r="L59" s="136" t="e">
        <f>VLOOKUP(J59,Ökobaudat!$D$5:$CK$165,Ökobaudat!$U$1,0)</f>
        <v>#N/A</v>
      </c>
      <c r="M59" s="93"/>
      <c r="N59" s="139" t="str">
        <f t="shared" si="15"/>
        <v/>
      </c>
      <c r="O59" s="135" t="str">
        <f>IF(ISNUMBER(VLOOKUP(J59,Ökobaudat!$D$5:$CK$165,Ökobaudat!$AA$1,0)),VLOOKUP(J59,Ökobaudat!$D$5:$CK$165,Ökobaudat!$AA$1,0),"")</f>
        <v/>
      </c>
      <c r="P59" s="93"/>
      <c r="Q59" s="135" t="str">
        <f>IF(ISNUMBER(VLOOKUP(J59,Ökobaudat!$D$5:$CK$160,Ökobaudat!$Z$1,0)),VLOOKUP(J59,Ökobaudat!$D$5:$CK$160,Ökobaudat!$Z$1,0),"")</f>
        <v/>
      </c>
      <c r="R59" s="138"/>
      <c r="S59" s="140" t="str">
        <f t="shared" si="17"/>
        <v/>
      </c>
      <c r="T59" s="124">
        <f t="shared" si="13"/>
        <v>1</v>
      </c>
      <c r="U59" s="124" t="e">
        <f>IF(Balance!$H$12=Data!$B$4,W59,V59)</f>
        <v>#N/A</v>
      </c>
      <c r="V59" s="124" t="e">
        <f t="shared" si="10"/>
        <v>#N/A</v>
      </c>
      <c r="W59" s="124" t="e">
        <f t="shared" si="11"/>
        <v>#N/A</v>
      </c>
      <c r="X59" s="124">
        <f t="shared" si="12"/>
        <v>0</v>
      </c>
      <c r="Y59" s="136" t="e">
        <f>VLOOKUP(J59,Ökobaudat!$D$5:$CK$165,Ökobaudat!$AM$1,0)/$Y$7</f>
        <v>#N/A</v>
      </c>
      <c r="Z59" s="136" t="e">
        <f>VLOOKUP(J59,Ökobaudat!$D$5:$CK$165,Ökobaudat!$AN$1,0)/$Y$7</f>
        <v>#N/A</v>
      </c>
      <c r="AA59" s="136" t="e">
        <f>VLOOKUP(J59,Ökobaudat!$D$5:$CK$165,Ökobaudat!$AP$1,0)/$Y$7</f>
        <v>#N/A</v>
      </c>
      <c r="AB59" s="136" t="e">
        <f>VLOOKUP(J59,Ökobaudat!$D$5:$CK$165,Ökobaudat!$AQ$1,0)/$Y$7</f>
        <v>#N/A</v>
      </c>
      <c r="AC59" s="136" t="str">
        <f>IF(ISNUMBER(VLOOKUP(J59,Ökobaudat!$D$5:$CK$165,Ökobaudat!$AF$1,0)),VLOOKUP(J59,Ökobaudat!$D$5:$CK$165,Ökobaudat!$AF$1,0),"")</f>
        <v/>
      </c>
      <c r="AD59" s="136" t="str">
        <f>IF(ISNUMBER(VLOOKUP(J59,Ökobaudat!$D$5:$CK$165,Ökobaudat!$BF$1,0)),VLOOKUP(J59,Ökobaudat!$D$5:$CK$165,Ökobaudat!$BF$1,0),"")</f>
        <v/>
      </c>
      <c r="AE59" s="136" t="str">
        <f>IF(ISTEXT(VLOOKUP(J59,Ökobaudat!$D$5:$CK$165,Ökobaudat!$BX$1,0)),VLOOKUP(J59,Ökobaudat!$D$5:$CK$165,Ökobaudat!$BX$1,0),"")</f>
        <v/>
      </c>
    </row>
    <row r="60" spans="2:31" ht="13.5" x14ac:dyDescent="0.2">
      <c r="B60" s="346">
        <f t="shared" si="16"/>
        <v>118</v>
      </c>
      <c r="C60" s="145" t="str">
        <f t="shared" si="14"/>
        <v>118-;  kg/m³;  W/(mK);  years</v>
      </c>
      <c r="D60" s="348" t="str">
        <f t="shared" si="6"/>
        <v>118</v>
      </c>
      <c r="E60" s="93"/>
      <c r="F60" s="142" t="e">
        <f t="shared" si="7"/>
        <v>#N/A</v>
      </c>
      <c r="G60" s="142" t="e">
        <f t="shared" si="8"/>
        <v>#N/A</v>
      </c>
      <c r="H60" s="94"/>
      <c r="I60" s="133"/>
      <c r="J60" s="133"/>
      <c r="K60" s="137" t="e">
        <f>VLOOKUP(J60,Ökobaudat!$D$5:$CK$165,Ökobaudat!$T$1,0)</f>
        <v>#N/A</v>
      </c>
      <c r="L60" s="136" t="e">
        <f>VLOOKUP(J60,Ökobaudat!$D$5:$CK$165,Ökobaudat!$U$1,0)</f>
        <v>#N/A</v>
      </c>
      <c r="M60" s="93"/>
      <c r="N60" s="139" t="str">
        <f t="shared" si="15"/>
        <v/>
      </c>
      <c r="O60" s="135" t="str">
        <f>IF(ISNUMBER(VLOOKUP(J60,Ökobaudat!$D$5:$CK$165,Ökobaudat!$AA$1,0)),VLOOKUP(J60,Ökobaudat!$D$5:$CK$165,Ökobaudat!$AA$1,0),"")</f>
        <v/>
      </c>
      <c r="P60" s="93"/>
      <c r="Q60" s="135" t="str">
        <f>IF(ISNUMBER(VLOOKUP(J60,Ökobaudat!$D$5:$CK$160,Ökobaudat!$Z$1,0)),VLOOKUP(J60,Ökobaudat!$D$5:$CK$160,Ökobaudat!$Z$1,0),"")</f>
        <v/>
      </c>
      <c r="R60" s="138"/>
      <c r="S60" s="140" t="str">
        <f t="shared" si="17"/>
        <v/>
      </c>
      <c r="T60" s="124">
        <f t="shared" si="13"/>
        <v>1</v>
      </c>
      <c r="U60" s="124" t="e">
        <f>IF(Balance!$H$12=Data!$B$4,W60,V60)</f>
        <v>#N/A</v>
      </c>
      <c r="V60" s="124" t="e">
        <f t="shared" si="10"/>
        <v>#N/A</v>
      </c>
      <c r="W60" s="124" t="e">
        <f t="shared" si="11"/>
        <v>#N/A</v>
      </c>
      <c r="X60" s="124">
        <f t="shared" si="12"/>
        <v>0</v>
      </c>
      <c r="Y60" s="136" t="e">
        <f>VLOOKUP(J60,Ökobaudat!$D$5:$CK$165,Ökobaudat!$AM$1,0)/$Y$7</f>
        <v>#N/A</v>
      </c>
      <c r="Z60" s="136" t="e">
        <f>VLOOKUP(J60,Ökobaudat!$D$5:$CK$165,Ökobaudat!$AN$1,0)/$Y$7</f>
        <v>#N/A</v>
      </c>
      <c r="AA60" s="136" t="e">
        <f>VLOOKUP(J60,Ökobaudat!$D$5:$CK$165,Ökobaudat!$AP$1,0)/$Y$7</f>
        <v>#N/A</v>
      </c>
      <c r="AB60" s="136" t="e">
        <f>VLOOKUP(J60,Ökobaudat!$D$5:$CK$165,Ökobaudat!$AQ$1,0)/$Y$7</f>
        <v>#N/A</v>
      </c>
      <c r="AC60" s="136" t="str">
        <f>IF(ISNUMBER(VLOOKUP(J60,Ökobaudat!$D$5:$CK$165,Ökobaudat!$AF$1,0)),VLOOKUP(J60,Ökobaudat!$D$5:$CK$165,Ökobaudat!$AF$1,0),"")</f>
        <v/>
      </c>
      <c r="AD60" s="136" t="str">
        <f>IF(ISNUMBER(VLOOKUP(J60,Ökobaudat!$D$5:$CK$165,Ökobaudat!$BF$1,0)),VLOOKUP(J60,Ökobaudat!$D$5:$CK$165,Ökobaudat!$BF$1,0),"")</f>
        <v/>
      </c>
      <c r="AE60" s="136" t="str">
        <f>IF(ISTEXT(VLOOKUP(J60,Ökobaudat!$D$5:$CK$165,Ökobaudat!$BX$1,0)),VLOOKUP(J60,Ökobaudat!$D$5:$CK$165,Ökobaudat!$BX$1,0),"")</f>
        <v/>
      </c>
    </row>
    <row r="61" spans="2:31" ht="13.5" x14ac:dyDescent="0.2">
      <c r="B61" s="346">
        <f t="shared" si="16"/>
        <v>119</v>
      </c>
      <c r="C61" s="145" t="str">
        <f t="shared" si="14"/>
        <v>119-;  kg/m³;  W/(mK);  years</v>
      </c>
      <c r="D61" s="348" t="str">
        <f t="shared" si="6"/>
        <v>119</v>
      </c>
      <c r="E61" s="93"/>
      <c r="F61" s="142" t="e">
        <f t="shared" si="7"/>
        <v>#N/A</v>
      </c>
      <c r="G61" s="142" t="e">
        <f t="shared" si="8"/>
        <v>#N/A</v>
      </c>
      <c r="H61" s="94"/>
      <c r="I61" s="133"/>
      <c r="J61" s="133"/>
      <c r="K61" s="137" t="e">
        <f>VLOOKUP(J61,Ökobaudat!$D$5:$CK$165,Ökobaudat!$T$1,0)</f>
        <v>#N/A</v>
      </c>
      <c r="L61" s="136" t="e">
        <f>VLOOKUP(J61,Ökobaudat!$D$5:$CK$165,Ökobaudat!$U$1,0)</f>
        <v>#N/A</v>
      </c>
      <c r="M61" s="93"/>
      <c r="N61" s="139" t="str">
        <f t="shared" si="15"/>
        <v/>
      </c>
      <c r="O61" s="135" t="str">
        <f>IF(ISNUMBER(VLOOKUP(J61,Ökobaudat!$D$5:$CK$165,Ökobaudat!$AA$1,0)),VLOOKUP(J61,Ökobaudat!$D$5:$CK$165,Ökobaudat!$AA$1,0),"")</f>
        <v/>
      </c>
      <c r="P61" s="93"/>
      <c r="Q61" s="135" t="str">
        <f>IF(ISNUMBER(VLOOKUP(J61,Ökobaudat!$D$5:$CK$160,Ökobaudat!$Z$1,0)),VLOOKUP(J61,Ökobaudat!$D$5:$CK$160,Ökobaudat!$Z$1,0),"")</f>
        <v/>
      </c>
      <c r="R61" s="138"/>
      <c r="S61" s="140" t="str">
        <f t="shared" si="17"/>
        <v/>
      </c>
      <c r="T61" s="124">
        <f t="shared" si="13"/>
        <v>1</v>
      </c>
      <c r="U61" s="124" t="e">
        <f>IF(Balance!$H$12=Data!$B$4,W61,V61)</f>
        <v>#N/A</v>
      </c>
      <c r="V61" s="124" t="e">
        <f t="shared" si="10"/>
        <v>#N/A</v>
      </c>
      <c r="W61" s="124" t="e">
        <f t="shared" si="11"/>
        <v>#N/A</v>
      </c>
      <c r="X61" s="124">
        <f t="shared" si="12"/>
        <v>0</v>
      </c>
      <c r="Y61" s="136" t="e">
        <f>VLOOKUP(J61,Ökobaudat!$D$5:$CK$165,Ökobaudat!$AM$1,0)/$Y$7</f>
        <v>#N/A</v>
      </c>
      <c r="Z61" s="136" t="e">
        <f>VLOOKUP(J61,Ökobaudat!$D$5:$CK$165,Ökobaudat!$AN$1,0)/$Y$7</f>
        <v>#N/A</v>
      </c>
      <c r="AA61" s="136" t="e">
        <f>VLOOKUP(J61,Ökobaudat!$D$5:$CK$165,Ökobaudat!$AP$1,0)/$Y$7</f>
        <v>#N/A</v>
      </c>
      <c r="AB61" s="136" t="e">
        <f>VLOOKUP(J61,Ökobaudat!$D$5:$CK$165,Ökobaudat!$AQ$1,0)/$Y$7</f>
        <v>#N/A</v>
      </c>
      <c r="AC61" s="136" t="str">
        <f>IF(ISNUMBER(VLOOKUP(J61,Ökobaudat!$D$5:$CK$165,Ökobaudat!$AF$1,0)),VLOOKUP(J61,Ökobaudat!$D$5:$CK$165,Ökobaudat!$AF$1,0),"")</f>
        <v/>
      </c>
      <c r="AD61" s="136" t="str">
        <f>IF(ISNUMBER(VLOOKUP(J61,Ökobaudat!$D$5:$CK$165,Ökobaudat!$BF$1,0)),VLOOKUP(J61,Ökobaudat!$D$5:$CK$165,Ökobaudat!$BF$1,0),"")</f>
        <v/>
      </c>
      <c r="AE61" s="136" t="str">
        <f>IF(ISTEXT(VLOOKUP(J61,Ökobaudat!$D$5:$CK$165,Ökobaudat!$BX$1,0)),VLOOKUP(J61,Ökobaudat!$D$5:$CK$165,Ökobaudat!$BX$1,0),"")</f>
        <v/>
      </c>
    </row>
    <row r="62" spans="2:31" ht="13.5" x14ac:dyDescent="0.2">
      <c r="B62" s="346">
        <v>200</v>
      </c>
      <c r="C62" s="145" t="str">
        <f t="shared" si="14"/>
        <v>200-Window glass, single;  kg/m³;  W/(mK); 40 years</v>
      </c>
      <c r="D62" s="348" t="str">
        <f t="shared" si="6"/>
        <v>200</v>
      </c>
      <c r="E62" s="93"/>
      <c r="F62" s="142">
        <f t="shared" si="7"/>
        <v>12551.192553387367</v>
      </c>
      <c r="G62" s="142">
        <f t="shared" si="8"/>
        <v>3364.3517819523249</v>
      </c>
      <c r="H62" s="94">
        <v>40</v>
      </c>
      <c r="I62" s="133"/>
      <c r="J62" s="133" t="s">
        <v>582</v>
      </c>
      <c r="K62" s="137">
        <f>VLOOKUP(J62,Ökobaudat!$D$5:$CK$165,Ökobaudat!$T$1,0)</f>
        <v>1</v>
      </c>
      <c r="L62" s="136" t="str">
        <f>VLOOKUP(J62,Ökobaudat!$D$5:$CK$165,Ökobaudat!$U$1,0)</f>
        <v>qm</v>
      </c>
      <c r="M62" s="93">
        <v>4</v>
      </c>
      <c r="N62" s="139">
        <f t="shared" si="15"/>
        <v>4.0000000000000001E-3</v>
      </c>
      <c r="O62" s="135" t="str">
        <f>IF(ISNUMBER(VLOOKUP(J62,Ökobaudat!$D$5:$CK$165,Ökobaudat!$AA$1,0)),VLOOKUP(J62,Ökobaudat!$D$5:$CK$165,Ökobaudat!$AA$1,0),"")</f>
        <v/>
      </c>
      <c r="P62" s="93"/>
      <c r="Q62" s="135" t="str">
        <f>IF(ISNUMBER(VLOOKUP(J62,Ökobaudat!$D$5:$CK$160,Ökobaudat!$Z$1,0)),VLOOKUP(J62,Ökobaudat!$D$5:$CK$160,Ökobaudat!$Z$1,0),"")</f>
        <v/>
      </c>
      <c r="R62" s="138"/>
      <c r="S62" s="140" t="str">
        <f t="shared" si="17"/>
        <v/>
      </c>
      <c r="T62" s="124">
        <f t="shared" si="13"/>
        <v>1</v>
      </c>
      <c r="U62" s="124">
        <f>IF(Balance!$H$12=Data!$B$4,W62,V62)</f>
        <v>50.204770213549473</v>
      </c>
      <c r="V62" s="124">
        <f t="shared" si="10"/>
        <v>50.204770213549473</v>
      </c>
      <c r="W62" s="124">
        <f t="shared" si="11"/>
        <v>50.204770213549473</v>
      </c>
      <c r="X62" s="124">
        <f t="shared" si="12"/>
        <v>13.457407127809301</v>
      </c>
      <c r="Y62" s="136">
        <f>VLOOKUP(J62,Ökobaudat!$D$5:$CK$165,Ökobaudat!$AM$1,0)/$Y$7</f>
        <v>3.1276528892925275</v>
      </c>
      <c r="Z62" s="136">
        <f>VLOOKUP(J62,Ökobaudat!$D$5:$CK$165,Ökobaudat!$AN$1,0)/$Y$7</f>
        <v>0</v>
      </c>
      <c r="AA62" s="136">
        <f>VLOOKUP(J62,Ökobaudat!$D$5:$CK$165,Ökobaudat!$AP$1,0)/$Y$7</f>
        <v>47.077117324256946</v>
      </c>
      <c r="AB62" s="136">
        <f>VLOOKUP(J62,Ökobaudat!$D$5:$CK$165,Ökobaudat!$AQ$1,0)/$Y$7</f>
        <v>0</v>
      </c>
      <c r="AC62" s="136" t="str">
        <f>IF(ISNUMBER(VLOOKUP(J62,Ökobaudat!$D$5:$CK$165,Ökobaudat!$AF$1,0)),VLOOKUP(J62,Ökobaudat!$D$5:$CK$165,Ökobaudat!$AF$1,0),"")</f>
        <v/>
      </c>
      <c r="AD62" s="136">
        <f>IF(ISNUMBER(VLOOKUP(J62,Ökobaudat!$D$5:$CK$165,Ökobaudat!$BF$1,0)),VLOOKUP(J62,Ökobaudat!$D$5:$CK$165,Ökobaudat!$BF$1,0),"")</f>
        <v>13.457407127809301</v>
      </c>
      <c r="AE62" s="136" t="str">
        <f>IF(ISTEXT(VLOOKUP(J62,Ökobaudat!$D$5:$CK$165,Ökobaudat!$BX$1,0)),VLOOKUP(J62,Ökobaudat!$D$5:$CK$165,Ökobaudat!$BX$1,0),"")</f>
        <v>kk 2022-04-17 according to Ökobaudat: Uncoated glass, 4 mm thickness</v>
      </c>
    </row>
    <row r="63" spans="2:31" ht="13.5" x14ac:dyDescent="0.2">
      <c r="B63" s="346">
        <f t="shared" si="16"/>
        <v>201</v>
      </c>
      <c r="C63" s="145" t="str">
        <f t="shared" si="14"/>
        <v>201-Insulated glazing, double pane;  kg/m³;  W/(mK); 40 years</v>
      </c>
      <c r="D63" s="348" t="str">
        <f t="shared" si="6"/>
        <v>201</v>
      </c>
      <c r="E63" s="93"/>
      <c r="F63" s="142">
        <f t="shared" si="7"/>
        <v>33894.09064875311</v>
      </c>
      <c r="G63" s="142">
        <f t="shared" si="8"/>
        <v>9367.4454042591751</v>
      </c>
      <c r="H63" s="94">
        <v>40</v>
      </c>
      <c r="I63" s="133"/>
      <c r="J63" s="133" t="s">
        <v>564</v>
      </c>
      <c r="K63" s="137">
        <f>VLOOKUP(J63,Ökobaudat!$D$5:$CK$165,Ökobaudat!$T$1,0)</f>
        <v>1</v>
      </c>
      <c r="L63" s="136" t="str">
        <f>VLOOKUP(J63,Ökobaudat!$D$5:$CK$165,Ökobaudat!$U$1,0)</f>
        <v>qm</v>
      </c>
      <c r="M63" s="93">
        <v>4</v>
      </c>
      <c r="N63" s="139">
        <f t="shared" si="15"/>
        <v>4.0000000000000001E-3</v>
      </c>
      <c r="O63" s="135" t="str">
        <f>IF(ISNUMBER(VLOOKUP(J63,Ökobaudat!$D$5:$CK$165,Ökobaudat!$AA$1,0)),VLOOKUP(J63,Ökobaudat!$D$5:$CK$165,Ökobaudat!$AA$1,0),"")</f>
        <v/>
      </c>
      <c r="P63" s="93"/>
      <c r="Q63" s="135" t="str">
        <f>IF(ISNUMBER(VLOOKUP(J63,Ökobaudat!$D$5:$CK$160,Ökobaudat!$Z$1,0)),VLOOKUP(J63,Ökobaudat!$D$5:$CK$160,Ökobaudat!$Z$1,0),"")</f>
        <v/>
      </c>
      <c r="R63" s="138"/>
      <c r="S63" s="140" t="str">
        <f t="shared" si="17"/>
        <v/>
      </c>
      <c r="T63" s="124">
        <f t="shared" si="13"/>
        <v>1</v>
      </c>
      <c r="U63" s="124">
        <f>IF(Balance!$H$12=Data!$B$4,W63,V63)</f>
        <v>135.57636259501245</v>
      </c>
      <c r="V63" s="124">
        <f t="shared" si="10"/>
        <v>135.57636259501245</v>
      </c>
      <c r="W63" s="124">
        <f t="shared" si="11"/>
        <v>140.57636259501245</v>
      </c>
      <c r="X63" s="124">
        <f t="shared" si="12"/>
        <v>37.469781617036702</v>
      </c>
      <c r="Y63" s="136">
        <f>VLOOKUP(J63,Ökobaudat!$D$5:$CK$165,Ökobaudat!$AM$1,0)/$Y$7</f>
        <v>11.893056213874944</v>
      </c>
      <c r="Z63" s="136">
        <f>VLOOKUP(J63,Ökobaudat!$D$5:$CK$165,Ökobaudat!$AN$1,0)/$Y$7</f>
        <v>0</v>
      </c>
      <c r="AA63" s="136">
        <f>VLOOKUP(J63,Ökobaudat!$D$5:$CK$165,Ökobaudat!$AP$1,0)/$Y$7</f>
        <v>123.6833063811375</v>
      </c>
      <c r="AB63" s="136">
        <f>VLOOKUP(J63,Ökobaudat!$D$5:$CK$165,Ökobaudat!$AQ$1,0)/$Y$7</f>
        <v>5</v>
      </c>
      <c r="AC63" s="136" t="str">
        <f>IF(ISNUMBER(VLOOKUP(J63,Ökobaudat!$D$5:$CK$165,Ökobaudat!$AF$1,0)),VLOOKUP(J63,Ökobaudat!$D$5:$CK$165,Ökobaudat!$AF$1,0),"")</f>
        <v/>
      </c>
      <c r="AD63" s="136">
        <f>IF(ISNUMBER(VLOOKUP(J63,Ökobaudat!$D$5:$CK$165,Ökobaudat!$BF$1,0)),VLOOKUP(J63,Ökobaudat!$D$5:$CK$165,Ökobaudat!$BF$1,0),"")</f>
        <v>37.469781617036702</v>
      </c>
      <c r="AE63" s="136" t="str">
        <f>IF(ISTEXT(VLOOKUP(J63,Ökobaudat!$D$5:$CK$165,Ökobaudat!$BX$1,0)),VLOOKUP(J63,Ökobaudat!$D$5:$CK$165,Ökobaudat!$BX$1,0),"")</f>
        <v>kk 2022-04-17 according to Ökobaudat:  Argon, incl. Coating, Warm edge bond. 4/16/4 is assumed by PHI based on the weight of the glazing.</v>
      </c>
    </row>
    <row r="64" spans="2:31" ht="13.5" x14ac:dyDescent="0.2">
      <c r="B64" s="346">
        <f t="shared" si="16"/>
        <v>202</v>
      </c>
      <c r="C64" s="145" t="str">
        <f t="shared" si="14"/>
        <v>202-Insulated glazing, triple pane;  kg/m³;  W/(mK); 40 years</v>
      </c>
      <c r="D64" s="348" t="str">
        <f t="shared" si="6"/>
        <v>202</v>
      </c>
      <c r="E64" s="93"/>
      <c r="F64" s="142">
        <f t="shared" si="7"/>
        <v>8974.0775664360699</v>
      </c>
      <c r="G64" s="142">
        <f t="shared" si="8"/>
        <v>2434.8328727687626</v>
      </c>
      <c r="H64" s="94">
        <v>40</v>
      </c>
      <c r="I64" s="133"/>
      <c r="J64" s="133" t="s">
        <v>588</v>
      </c>
      <c r="K64" s="137">
        <f>VLOOKUP(J64,Ökobaudat!$D$5:$CK$165,Ökobaudat!$T$1,0)</f>
        <v>1</v>
      </c>
      <c r="L64" s="136" t="str">
        <f>VLOOKUP(J64,Ökobaudat!$D$5:$CK$165,Ökobaudat!$U$1,0)</f>
        <v>qm</v>
      </c>
      <c r="M64" s="93">
        <v>24</v>
      </c>
      <c r="N64" s="139">
        <f t="shared" si="15"/>
        <v>2.4E-2</v>
      </c>
      <c r="O64" s="135">
        <f>IF(ISNUMBER(VLOOKUP(J64,Ökobaudat!$D$5:$CK$165,Ökobaudat!$AA$1,0)),VLOOKUP(J64,Ökobaudat!$D$5:$CK$165,Ökobaudat!$AA$1,0),"")</f>
        <v>4.3999999999999997E-2</v>
      </c>
      <c r="P64" s="93"/>
      <c r="Q64" s="135" t="str">
        <f>IF(ISNUMBER(VLOOKUP(J64,Ökobaudat!$D$5:$CK$160,Ökobaudat!$Z$1,0)),VLOOKUP(J64,Ökobaudat!$D$5:$CK$160,Ökobaudat!$Z$1,0),"")</f>
        <v/>
      </c>
      <c r="R64" s="138"/>
      <c r="S64" s="140" t="str">
        <f t="shared" si="17"/>
        <v/>
      </c>
      <c r="T64" s="124">
        <f t="shared" si="13"/>
        <v>1</v>
      </c>
      <c r="U64" s="124">
        <f>IF(Balance!$H$12=Data!$B$4,W64,V64)</f>
        <v>215.37786159446568</v>
      </c>
      <c r="V64" s="124">
        <f t="shared" si="10"/>
        <v>215.37786159446568</v>
      </c>
      <c r="W64" s="124">
        <f t="shared" si="11"/>
        <v>225.37786159446568</v>
      </c>
      <c r="X64" s="124">
        <f t="shared" si="12"/>
        <v>58.435988946450301</v>
      </c>
      <c r="Y64" s="136">
        <f>VLOOKUP(J64,Ökobaudat!$D$5:$CK$165,Ökobaudat!$AM$1,0)/$Y$7</f>
        <v>20.375038335637889</v>
      </c>
      <c r="Z64" s="136">
        <f>VLOOKUP(J64,Ökobaudat!$D$5:$CK$165,Ökobaudat!$AN$1,0)/$Y$7</f>
        <v>0</v>
      </c>
      <c r="AA64" s="136">
        <f>VLOOKUP(J64,Ökobaudat!$D$5:$CK$165,Ökobaudat!$AP$1,0)/$Y$7</f>
        <v>195.00282325882779</v>
      </c>
      <c r="AB64" s="136">
        <f>VLOOKUP(J64,Ökobaudat!$D$5:$CK$165,Ökobaudat!$AQ$1,0)/$Y$7</f>
        <v>10</v>
      </c>
      <c r="AC64" s="136" t="str">
        <f>IF(ISNUMBER(VLOOKUP(J64,Ökobaudat!$D$5:$CK$165,Ökobaudat!$AF$1,0)),VLOOKUP(J64,Ökobaudat!$D$5:$CK$165,Ökobaudat!$AF$1,0),"")</f>
        <v/>
      </c>
      <c r="AD64" s="136">
        <f>IF(ISNUMBER(VLOOKUP(J64,Ökobaudat!$D$5:$CK$165,Ökobaudat!$BF$1,0)),VLOOKUP(J64,Ökobaudat!$D$5:$CK$165,Ökobaudat!$BF$1,0),"")</f>
        <v>58.435988946450301</v>
      </c>
      <c r="AE64" s="136" t="str">
        <f>IF(ISTEXT(VLOOKUP(J64,Ökobaudat!$D$5:$CK$165,Ökobaudat!$BX$1,0)),VLOOKUP(J64,Ökobaudat!$D$5:$CK$165,Ökobaudat!$BX$1,0),"")</f>
        <v xml:space="preserve">kk 2022-04-17 according to Ökobaudat: 4/16/4/16/4 Argon, incl. Coating, Warm edge bond, reference size 1.24*0.99 m </v>
      </c>
    </row>
    <row r="65" spans="2:31" ht="13.5" x14ac:dyDescent="0.2">
      <c r="B65" s="346">
        <f t="shared" si="16"/>
        <v>203</v>
      </c>
      <c r="C65" s="145" t="str">
        <f t="shared" si="14"/>
        <v>203-Glass - Bundesverband Flachglas e.V. - Toughened safety glass; 2500 kg/m³;  W/(mK); 40 years</v>
      </c>
      <c r="D65" s="348" t="str">
        <f t="shared" si="6"/>
        <v>203</v>
      </c>
      <c r="E65" s="93"/>
      <c r="F65" s="142">
        <f t="shared" si="7"/>
        <v>4928.6743055555553</v>
      </c>
      <c r="G65" s="142">
        <f t="shared" si="8"/>
        <v>865.10249999999996</v>
      </c>
      <c r="H65" s="94">
        <v>40</v>
      </c>
      <c r="I65" s="133"/>
      <c r="J65" s="133" t="s">
        <v>657</v>
      </c>
      <c r="K65" s="137">
        <f>VLOOKUP(J65,Ökobaudat!$D$5:$CK$165,Ökobaudat!$T$1,0)</f>
        <v>1</v>
      </c>
      <c r="L65" s="136" t="str">
        <f>VLOOKUP(J65,Ökobaudat!$D$5:$CK$165,Ökobaudat!$U$1,0)</f>
        <v>qm</v>
      </c>
      <c r="M65" s="93">
        <v>24</v>
      </c>
      <c r="N65" s="139">
        <f t="shared" si="15"/>
        <v>2.4E-2</v>
      </c>
      <c r="O65" s="135">
        <f>IF(ISNUMBER(VLOOKUP(J65,Ökobaudat!$D$5:$CK$165,Ökobaudat!$AA$1,0)),VLOOKUP(J65,Ökobaudat!$D$5:$CK$165,Ökobaudat!$AA$1,0),"")</f>
        <v>6.0000000000000001E-3</v>
      </c>
      <c r="P65" s="93"/>
      <c r="Q65" s="135">
        <f>IF(ISNUMBER(VLOOKUP(J65,Ökobaudat!$D$5:$CK$160,Ökobaudat!$Z$1,0)),VLOOKUP(J65,Ökobaudat!$D$5:$CK$160,Ökobaudat!$Z$1,0),"")</f>
        <v>2500</v>
      </c>
      <c r="R65" s="138"/>
      <c r="S65" s="140">
        <f t="shared" si="17"/>
        <v>2500</v>
      </c>
      <c r="T65" s="124">
        <f t="shared" si="13"/>
        <v>1</v>
      </c>
      <c r="U65" s="124">
        <f>IF(Balance!$H$12=Data!$B$4,W65,V65)</f>
        <v>118.28818333333334</v>
      </c>
      <c r="V65" s="124">
        <f t="shared" si="10"/>
        <v>118.28818333333334</v>
      </c>
      <c r="W65" s="124">
        <f t="shared" si="11"/>
        <v>118.28818333333334</v>
      </c>
      <c r="X65" s="124">
        <f t="shared" si="12"/>
        <v>20.762460000000001</v>
      </c>
      <c r="Y65" s="136">
        <f>VLOOKUP(J65,Ökobaudat!$D$5:$CK$165,Ökobaudat!$AM$1,0)/$Y$7</f>
        <v>12.311016666666665</v>
      </c>
      <c r="Z65" s="136">
        <f>VLOOKUP(J65,Ökobaudat!$D$5:$CK$165,Ökobaudat!$AN$1,0)/$Y$7</f>
        <v>0</v>
      </c>
      <c r="AA65" s="136">
        <f>VLOOKUP(J65,Ökobaudat!$D$5:$CK$165,Ökobaudat!$AP$1,0)/$Y$7</f>
        <v>105.97716666666668</v>
      </c>
      <c r="AB65" s="136">
        <f>VLOOKUP(J65,Ökobaudat!$D$5:$CK$165,Ökobaudat!$AQ$1,0)/$Y$7</f>
        <v>0</v>
      </c>
      <c r="AC65" s="136">
        <f>IF(ISNUMBER(VLOOKUP(J65,Ökobaudat!$D$5:$CK$165,Ökobaudat!$AF$1,0)),VLOOKUP(J65,Ökobaudat!$D$5:$CK$165,Ökobaudat!$AF$1,0),"")</f>
        <v>20.762460000000001</v>
      </c>
      <c r="AD65" s="136" t="str">
        <f>IF(ISNUMBER(VLOOKUP(J65,Ökobaudat!$D$5:$CK$165,Ökobaudat!$BF$1,0)),VLOOKUP(J65,Ökobaudat!$D$5:$CK$165,Ökobaudat!$BF$1,0),"")</f>
        <v/>
      </c>
      <c r="AE65" s="136" t="str">
        <f>IF(ISTEXT(VLOOKUP(J65,Ökobaudat!$D$5:$CK$165,Ökobaudat!$BX$1,0)),VLOOKUP(J65,Ökobaudat!$D$5:$CK$165,Ökobaudat!$BX$1,0),"")</f>
        <v/>
      </c>
    </row>
    <row r="66" spans="2:31" ht="13.5" x14ac:dyDescent="0.2">
      <c r="B66" s="346">
        <f t="shared" si="16"/>
        <v>204</v>
      </c>
      <c r="C66" s="145" t="str">
        <f t="shared" si="14"/>
        <v>204-;  kg/m³;  W/(mK);  years</v>
      </c>
      <c r="D66" s="348" t="str">
        <f t="shared" si="6"/>
        <v>204</v>
      </c>
      <c r="E66" s="93"/>
      <c r="F66" s="142" t="e">
        <f t="shared" si="7"/>
        <v>#N/A</v>
      </c>
      <c r="G66" s="142" t="e">
        <f t="shared" si="8"/>
        <v>#N/A</v>
      </c>
      <c r="H66" s="94"/>
      <c r="I66" s="133"/>
      <c r="J66" s="133"/>
      <c r="K66" s="137" t="e">
        <f>VLOOKUP(J66,Ökobaudat!$D$5:$CK$165,Ökobaudat!$T$1,0)</f>
        <v>#N/A</v>
      </c>
      <c r="L66" s="136" t="e">
        <f>VLOOKUP(J66,Ökobaudat!$D$5:$CK$165,Ökobaudat!$U$1,0)</f>
        <v>#N/A</v>
      </c>
      <c r="M66" s="93">
        <v>44</v>
      </c>
      <c r="N66" s="139">
        <f t="shared" si="15"/>
        <v>4.3999999999999997E-2</v>
      </c>
      <c r="O66" s="135" t="str">
        <f>IF(ISNUMBER(VLOOKUP(J66,Ökobaudat!$D$5:$CK$165,Ökobaudat!$AA$1,0)),VLOOKUP(J66,Ökobaudat!$D$5:$CK$165,Ökobaudat!$AA$1,0),"")</f>
        <v/>
      </c>
      <c r="P66" s="93"/>
      <c r="Q66" s="135" t="str">
        <f>IF(ISNUMBER(VLOOKUP(J66,Ökobaudat!$D$5:$CK$160,Ökobaudat!$Z$1,0)),VLOOKUP(J66,Ökobaudat!$D$5:$CK$160,Ökobaudat!$Z$1,0),"")</f>
        <v/>
      </c>
      <c r="R66" s="138"/>
      <c r="S66" s="140" t="str">
        <f t="shared" si="17"/>
        <v/>
      </c>
      <c r="T66" s="124">
        <f t="shared" si="13"/>
        <v>1</v>
      </c>
      <c r="U66" s="124" t="e">
        <f>IF(Balance!$H$12=Data!$B$4,W66,V66)</f>
        <v>#N/A</v>
      </c>
      <c r="V66" s="124" t="e">
        <f t="shared" si="10"/>
        <v>#N/A</v>
      </c>
      <c r="W66" s="124" t="e">
        <f t="shared" si="11"/>
        <v>#N/A</v>
      </c>
      <c r="X66" s="124">
        <f t="shared" si="12"/>
        <v>0</v>
      </c>
      <c r="Y66" s="136" t="e">
        <f>VLOOKUP(J66,Ökobaudat!$D$5:$CK$165,Ökobaudat!$AM$1,0)/$Y$7</f>
        <v>#N/A</v>
      </c>
      <c r="Z66" s="136" t="e">
        <f>VLOOKUP(J66,Ökobaudat!$D$5:$CK$165,Ökobaudat!$AN$1,0)/$Y$7</f>
        <v>#N/A</v>
      </c>
      <c r="AA66" s="136" t="e">
        <f>VLOOKUP(J66,Ökobaudat!$D$5:$CK$165,Ökobaudat!$AP$1,0)/$Y$7</f>
        <v>#N/A</v>
      </c>
      <c r="AB66" s="136" t="e">
        <f>VLOOKUP(J66,Ökobaudat!$D$5:$CK$165,Ökobaudat!$AQ$1,0)/$Y$7</f>
        <v>#N/A</v>
      </c>
      <c r="AC66" s="136" t="str">
        <f>IF(ISNUMBER(VLOOKUP(J66,Ökobaudat!$D$5:$CK$165,Ökobaudat!$AF$1,0)),VLOOKUP(J66,Ökobaudat!$D$5:$CK$165,Ökobaudat!$AF$1,0),"")</f>
        <v/>
      </c>
      <c r="AD66" s="136" t="str">
        <f>IF(ISNUMBER(VLOOKUP(J66,Ökobaudat!$D$5:$CK$165,Ökobaudat!$BF$1,0)),VLOOKUP(J66,Ökobaudat!$D$5:$CK$165,Ökobaudat!$BF$1,0),"")</f>
        <v/>
      </c>
      <c r="AE66" s="136" t="str">
        <f>IF(ISTEXT(VLOOKUP(J66,Ökobaudat!$D$5:$CK$165,Ökobaudat!$BX$1,0)),VLOOKUP(J66,Ökobaudat!$D$5:$CK$165,Ökobaudat!$BX$1,0),"")</f>
        <v/>
      </c>
    </row>
    <row r="67" spans="2:31" ht="13.5" x14ac:dyDescent="0.2">
      <c r="B67" s="346">
        <f t="shared" si="16"/>
        <v>205</v>
      </c>
      <c r="C67" s="145" t="str">
        <f t="shared" si="14"/>
        <v>205-;  kg/m³;  W/(mK);  years</v>
      </c>
      <c r="D67" s="348" t="str">
        <f t="shared" si="6"/>
        <v>205</v>
      </c>
      <c r="E67" s="93"/>
      <c r="F67" s="142" t="e">
        <f t="shared" si="7"/>
        <v>#N/A</v>
      </c>
      <c r="G67" s="142" t="e">
        <f t="shared" si="8"/>
        <v>#N/A</v>
      </c>
      <c r="H67" s="94"/>
      <c r="I67" s="133"/>
      <c r="J67" s="133"/>
      <c r="K67" s="137" t="e">
        <f>VLOOKUP(J67,Ökobaudat!$D$5:$CK$165,Ökobaudat!$T$1,0)</f>
        <v>#N/A</v>
      </c>
      <c r="L67" s="136" t="e">
        <f>VLOOKUP(J67,Ökobaudat!$D$5:$CK$165,Ökobaudat!$U$1,0)</f>
        <v>#N/A</v>
      </c>
      <c r="M67" s="93">
        <v>36</v>
      </c>
      <c r="N67" s="139">
        <f t="shared" si="15"/>
        <v>3.5999999999999997E-2</v>
      </c>
      <c r="O67" s="135" t="str">
        <f>IF(ISNUMBER(VLOOKUP(J67,Ökobaudat!$D$5:$CK$165,Ökobaudat!$AA$1,0)),VLOOKUP(J67,Ökobaudat!$D$5:$CK$165,Ökobaudat!$AA$1,0),"")</f>
        <v/>
      </c>
      <c r="P67" s="93"/>
      <c r="Q67" s="135" t="str">
        <f>IF(ISNUMBER(VLOOKUP(J67,Ökobaudat!$D$5:$CK$160,Ökobaudat!$Z$1,0)),VLOOKUP(J67,Ökobaudat!$D$5:$CK$160,Ökobaudat!$Z$1,0),"")</f>
        <v/>
      </c>
      <c r="R67" s="138"/>
      <c r="S67" s="140" t="str">
        <f t="shared" si="17"/>
        <v/>
      </c>
      <c r="T67" s="124">
        <f t="shared" si="13"/>
        <v>1</v>
      </c>
      <c r="U67" s="124" t="e">
        <f>IF(Balance!$H$12=Data!$B$4,W67,V67)</f>
        <v>#N/A</v>
      </c>
      <c r="V67" s="124" t="e">
        <f t="shared" si="10"/>
        <v>#N/A</v>
      </c>
      <c r="W67" s="124" t="e">
        <f t="shared" si="11"/>
        <v>#N/A</v>
      </c>
      <c r="X67" s="124">
        <f t="shared" si="12"/>
        <v>0</v>
      </c>
      <c r="Y67" s="136" t="e">
        <f>VLOOKUP(J67,Ökobaudat!$D$5:$CK$165,Ökobaudat!$AM$1,0)/$Y$7</f>
        <v>#N/A</v>
      </c>
      <c r="Z67" s="136" t="e">
        <f>VLOOKUP(J67,Ökobaudat!$D$5:$CK$165,Ökobaudat!$AN$1,0)/$Y$7</f>
        <v>#N/A</v>
      </c>
      <c r="AA67" s="136" t="e">
        <f>VLOOKUP(J67,Ökobaudat!$D$5:$CK$165,Ökobaudat!$AP$1,0)/$Y$7</f>
        <v>#N/A</v>
      </c>
      <c r="AB67" s="136" t="e">
        <f>VLOOKUP(J67,Ökobaudat!$D$5:$CK$165,Ökobaudat!$AQ$1,0)/$Y$7</f>
        <v>#N/A</v>
      </c>
      <c r="AC67" s="136" t="str">
        <f>IF(ISNUMBER(VLOOKUP(J67,Ökobaudat!$D$5:$CK$165,Ökobaudat!$AF$1,0)),VLOOKUP(J67,Ökobaudat!$D$5:$CK$165,Ökobaudat!$AF$1,0),"")</f>
        <v/>
      </c>
      <c r="AD67" s="136" t="str">
        <f>IF(ISNUMBER(VLOOKUP(J67,Ökobaudat!$D$5:$CK$165,Ökobaudat!$BF$1,0)),VLOOKUP(J67,Ökobaudat!$D$5:$CK$165,Ökobaudat!$BF$1,0),"")</f>
        <v/>
      </c>
      <c r="AE67" s="136" t="str">
        <f>IF(ISTEXT(VLOOKUP(J67,Ökobaudat!$D$5:$CK$165,Ökobaudat!$BX$1,0)),VLOOKUP(J67,Ökobaudat!$D$5:$CK$165,Ökobaudat!$BX$1,0),"")</f>
        <v/>
      </c>
    </row>
    <row r="68" spans="2:31" ht="13.5" x14ac:dyDescent="0.2">
      <c r="B68" s="346">
        <f t="shared" si="16"/>
        <v>206</v>
      </c>
      <c r="C68" s="145" t="str">
        <f t="shared" si="14"/>
        <v>206-;  kg/m³;  W/(mK);  years</v>
      </c>
      <c r="D68" s="348" t="str">
        <f t="shared" si="6"/>
        <v>206</v>
      </c>
      <c r="E68" s="93"/>
      <c r="F68" s="142" t="e">
        <f t="shared" si="7"/>
        <v>#N/A</v>
      </c>
      <c r="G68" s="142" t="e">
        <f t="shared" si="8"/>
        <v>#N/A</v>
      </c>
      <c r="H68" s="94"/>
      <c r="I68" s="133"/>
      <c r="J68" s="133"/>
      <c r="K68" s="137" t="e">
        <f>VLOOKUP(J68,Ökobaudat!$D$5:$CK$165,Ökobaudat!$T$1,0)</f>
        <v>#N/A</v>
      </c>
      <c r="L68" s="136" t="e">
        <f>VLOOKUP(J68,Ökobaudat!$D$5:$CK$165,Ökobaudat!$U$1,0)</f>
        <v>#N/A</v>
      </c>
      <c r="M68" s="93">
        <v>1</v>
      </c>
      <c r="N68" s="139">
        <f t="shared" si="15"/>
        <v>1E-3</v>
      </c>
      <c r="O68" s="135" t="str">
        <f>IF(ISNUMBER(VLOOKUP(J68,Ökobaudat!$D$5:$CK$165,Ökobaudat!$AA$1,0)),VLOOKUP(J68,Ökobaudat!$D$5:$CK$165,Ökobaudat!$AA$1,0),"")</f>
        <v/>
      </c>
      <c r="P68" s="93"/>
      <c r="Q68" s="135" t="str">
        <f>IF(ISNUMBER(VLOOKUP(J68,Ökobaudat!$D$5:$CK$160,Ökobaudat!$Z$1,0)),VLOOKUP(J68,Ökobaudat!$D$5:$CK$160,Ökobaudat!$Z$1,0),"")</f>
        <v/>
      </c>
      <c r="R68" s="138"/>
      <c r="S68" s="140" t="str">
        <f t="shared" si="17"/>
        <v/>
      </c>
      <c r="T68" s="124">
        <f t="shared" si="13"/>
        <v>1</v>
      </c>
      <c r="U68" s="124" t="e">
        <f>IF(Balance!$H$12=Data!$B$4,W68,V68)</f>
        <v>#N/A</v>
      </c>
      <c r="V68" s="124" t="e">
        <f t="shared" si="10"/>
        <v>#N/A</v>
      </c>
      <c r="W68" s="124" t="e">
        <f t="shared" si="11"/>
        <v>#N/A</v>
      </c>
      <c r="X68" s="124">
        <f t="shared" si="12"/>
        <v>0</v>
      </c>
      <c r="Y68" s="136" t="e">
        <f>VLOOKUP(J68,Ökobaudat!$D$5:$CK$165,Ökobaudat!$AM$1,0)/$Y$7</f>
        <v>#N/A</v>
      </c>
      <c r="Z68" s="136" t="e">
        <f>VLOOKUP(J68,Ökobaudat!$D$5:$CK$165,Ökobaudat!$AN$1,0)/$Y$7</f>
        <v>#N/A</v>
      </c>
      <c r="AA68" s="136" t="e">
        <f>VLOOKUP(J68,Ökobaudat!$D$5:$CK$165,Ökobaudat!$AP$1,0)/$Y$7</f>
        <v>#N/A</v>
      </c>
      <c r="AB68" s="136" t="e">
        <f>VLOOKUP(J68,Ökobaudat!$D$5:$CK$165,Ökobaudat!$AQ$1,0)/$Y$7</f>
        <v>#N/A</v>
      </c>
      <c r="AC68" s="136" t="str">
        <f>IF(ISNUMBER(VLOOKUP(J68,Ökobaudat!$D$5:$CK$165,Ökobaudat!$AF$1,0)),VLOOKUP(J68,Ökobaudat!$D$5:$CK$165,Ökobaudat!$AF$1,0),"")</f>
        <v/>
      </c>
      <c r="AD68" s="136" t="str">
        <f>IF(ISNUMBER(VLOOKUP(J68,Ökobaudat!$D$5:$CK$165,Ökobaudat!$BF$1,0)),VLOOKUP(J68,Ökobaudat!$D$5:$CK$165,Ökobaudat!$BF$1,0),"")</f>
        <v/>
      </c>
      <c r="AE68" s="136" t="str">
        <f>IF(ISTEXT(VLOOKUP(J68,Ökobaudat!$D$5:$CK$165,Ökobaudat!$BX$1,0)),VLOOKUP(J68,Ökobaudat!$D$5:$CK$165,Ökobaudat!$BX$1,0),"")</f>
        <v/>
      </c>
    </row>
    <row r="69" spans="2:31" ht="13.5" x14ac:dyDescent="0.2">
      <c r="B69" s="346">
        <f t="shared" si="16"/>
        <v>207</v>
      </c>
      <c r="C69" s="145" t="str">
        <f t="shared" si="14"/>
        <v>207-;  kg/m³;  W/(mK);  years</v>
      </c>
      <c r="D69" s="348" t="str">
        <f t="shared" si="6"/>
        <v>207</v>
      </c>
      <c r="E69" s="93"/>
      <c r="F69" s="142" t="e">
        <f t="shared" si="7"/>
        <v>#N/A</v>
      </c>
      <c r="G69" s="142" t="e">
        <f t="shared" si="8"/>
        <v>#N/A</v>
      </c>
      <c r="H69" s="94"/>
      <c r="I69" s="133"/>
      <c r="J69" s="133"/>
      <c r="K69" s="137" t="e">
        <f>VLOOKUP(J69,Ökobaudat!$D$5:$CK$165,Ökobaudat!$T$1,0)</f>
        <v>#N/A</v>
      </c>
      <c r="L69" s="136" t="e">
        <f>VLOOKUP(J69,Ökobaudat!$D$5:$CK$165,Ökobaudat!$U$1,0)</f>
        <v>#N/A</v>
      </c>
      <c r="M69" s="93">
        <v>1</v>
      </c>
      <c r="N69" s="139">
        <f t="shared" si="15"/>
        <v>1E-3</v>
      </c>
      <c r="O69" s="135" t="str">
        <f>IF(ISNUMBER(VLOOKUP(J69,Ökobaudat!$D$5:$CK$165,Ökobaudat!$AA$1,0)),VLOOKUP(J69,Ökobaudat!$D$5:$CK$165,Ökobaudat!$AA$1,0),"")</f>
        <v/>
      </c>
      <c r="P69" s="93"/>
      <c r="Q69" s="135" t="str">
        <f>IF(ISNUMBER(VLOOKUP(J69,Ökobaudat!$D$5:$CK$160,Ökobaudat!$Z$1,0)),VLOOKUP(J69,Ökobaudat!$D$5:$CK$160,Ökobaudat!$Z$1,0),"")</f>
        <v/>
      </c>
      <c r="R69" s="138"/>
      <c r="S69" s="140" t="str">
        <f t="shared" si="17"/>
        <v/>
      </c>
      <c r="T69" s="124">
        <f t="shared" si="13"/>
        <v>1</v>
      </c>
      <c r="U69" s="124" t="e">
        <f>IF(Balance!$H$12=Data!$B$4,W69,V69)</f>
        <v>#N/A</v>
      </c>
      <c r="V69" s="124" t="e">
        <f t="shared" si="10"/>
        <v>#N/A</v>
      </c>
      <c r="W69" s="124" t="e">
        <f t="shared" si="11"/>
        <v>#N/A</v>
      </c>
      <c r="X69" s="124">
        <f t="shared" si="12"/>
        <v>0</v>
      </c>
      <c r="Y69" s="136" t="e">
        <f>VLOOKUP(J69,Ökobaudat!$D$5:$CK$165,Ökobaudat!$AM$1,0)/$Y$7</f>
        <v>#N/A</v>
      </c>
      <c r="Z69" s="136" t="e">
        <f>VLOOKUP(J69,Ökobaudat!$D$5:$CK$165,Ökobaudat!$AN$1,0)/$Y$7</f>
        <v>#N/A</v>
      </c>
      <c r="AA69" s="136" t="e">
        <f>VLOOKUP(J69,Ökobaudat!$D$5:$CK$165,Ökobaudat!$AP$1,0)/$Y$7</f>
        <v>#N/A</v>
      </c>
      <c r="AB69" s="136" t="e">
        <f>VLOOKUP(J69,Ökobaudat!$D$5:$CK$165,Ökobaudat!$AQ$1,0)/$Y$7</f>
        <v>#N/A</v>
      </c>
      <c r="AC69" s="136" t="str">
        <f>IF(ISNUMBER(VLOOKUP(J69,Ökobaudat!$D$5:$CK$165,Ökobaudat!$AF$1,0)),VLOOKUP(J69,Ökobaudat!$D$5:$CK$165,Ökobaudat!$AF$1,0),"")</f>
        <v/>
      </c>
      <c r="AD69" s="136" t="str">
        <f>IF(ISNUMBER(VLOOKUP(J69,Ökobaudat!$D$5:$CK$165,Ökobaudat!$BF$1,0)),VLOOKUP(J69,Ökobaudat!$D$5:$CK$165,Ökobaudat!$BF$1,0),"")</f>
        <v/>
      </c>
      <c r="AE69" s="136" t="str">
        <f>IF(ISTEXT(VLOOKUP(J69,Ökobaudat!$D$5:$CK$165,Ökobaudat!$BX$1,0)),VLOOKUP(J69,Ökobaudat!$D$5:$CK$165,Ökobaudat!$BX$1,0),"")</f>
        <v/>
      </c>
    </row>
    <row r="70" spans="2:31" ht="13.5" x14ac:dyDescent="0.2">
      <c r="B70" s="346">
        <f t="shared" si="16"/>
        <v>208</v>
      </c>
      <c r="C70" s="145" t="str">
        <f t="shared" si="14"/>
        <v>208-;  kg/m³;  W/(mK);  years</v>
      </c>
      <c r="D70" s="348" t="str">
        <f t="shared" si="6"/>
        <v>208</v>
      </c>
      <c r="E70" s="93"/>
      <c r="F70" s="142" t="e">
        <f t="shared" si="7"/>
        <v>#N/A</v>
      </c>
      <c r="G70" s="142" t="e">
        <f t="shared" si="8"/>
        <v>#N/A</v>
      </c>
      <c r="H70" s="94"/>
      <c r="I70" s="133"/>
      <c r="J70" s="133"/>
      <c r="K70" s="137" t="e">
        <f>VLOOKUP(J70,Ökobaudat!$D$5:$CK$165,Ökobaudat!$T$1,0)</f>
        <v>#N/A</v>
      </c>
      <c r="L70" s="136" t="e">
        <f>VLOOKUP(J70,Ökobaudat!$D$5:$CK$165,Ökobaudat!$U$1,0)</f>
        <v>#N/A</v>
      </c>
      <c r="M70" s="93">
        <v>6</v>
      </c>
      <c r="N70" s="139">
        <f t="shared" si="15"/>
        <v>6.0000000000000001E-3</v>
      </c>
      <c r="O70" s="135" t="str">
        <f>IF(ISNUMBER(VLOOKUP(J70,Ökobaudat!$D$5:$CK$165,Ökobaudat!$AA$1,0)),VLOOKUP(J70,Ökobaudat!$D$5:$CK$165,Ökobaudat!$AA$1,0),"")</f>
        <v/>
      </c>
      <c r="P70" s="93"/>
      <c r="Q70" s="135" t="str">
        <f>IF(ISNUMBER(VLOOKUP(J70,Ökobaudat!$D$5:$CK$160,Ökobaudat!$Z$1,0)),VLOOKUP(J70,Ökobaudat!$D$5:$CK$160,Ökobaudat!$Z$1,0),"")</f>
        <v/>
      </c>
      <c r="R70" s="138"/>
      <c r="S70" s="140" t="str">
        <f t="shared" si="17"/>
        <v/>
      </c>
      <c r="T70" s="124">
        <f t="shared" si="13"/>
        <v>1</v>
      </c>
      <c r="U70" s="124" t="e">
        <f>IF(Balance!$H$12=Data!$B$4,W70,V70)</f>
        <v>#N/A</v>
      </c>
      <c r="V70" s="124" t="e">
        <f t="shared" si="10"/>
        <v>#N/A</v>
      </c>
      <c r="W70" s="124" t="e">
        <f t="shared" si="11"/>
        <v>#N/A</v>
      </c>
      <c r="X70" s="124">
        <f t="shared" si="12"/>
        <v>0</v>
      </c>
      <c r="Y70" s="136" t="e">
        <f>VLOOKUP(J70,Ökobaudat!$D$5:$CK$165,Ökobaudat!$AM$1,0)/$Y$7</f>
        <v>#N/A</v>
      </c>
      <c r="Z70" s="136" t="e">
        <f>VLOOKUP(J70,Ökobaudat!$D$5:$CK$165,Ökobaudat!$AN$1,0)/$Y$7</f>
        <v>#N/A</v>
      </c>
      <c r="AA70" s="136" t="e">
        <f>VLOOKUP(J70,Ökobaudat!$D$5:$CK$165,Ökobaudat!$AP$1,0)/$Y$7</f>
        <v>#N/A</v>
      </c>
      <c r="AB70" s="136" t="e">
        <f>VLOOKUP(J70,Ökobaudat!$D$5:$CK$165,Ökobaudat!$AQ$1,0)/$Y$7</f>
        <v>#N/A</v>
      </c>
      <c r="AC70" s="136" t="str">
        <f>IF(ISNUMBER(VLOOKUP(J70,Ökobaudat!$D$5:$CK$165,Ökobaudat!$AF$1,0)),VLOOKUP(J70,Ökobaudat!$D$5:$CK$165,Ökobaudat!$AF$1,0),"")</f>
        <v/>
      </c>
      <c r="AD70" s="136" t="str">
        <f>IF(ISNUMBER(VLOOKUP(J70,Ökobaudat!$D$5:$CK$165,Ökobaudat!$BF$1,0)),VLOOKUP(J70,Ökobaudat!$D$5:$CK$165,Ökobaudat!$BF$1,0),"")</f>
        <v/>
      </c>
      <c r="AE70" s="136" t="str">
        <f>IF(ISTEXT(VLOOKUP(J70,Ökobaudat!$D$5:$CK$165,Ökobaudat!$BX$1,0)),VLOOKUP(J70,Ökobaudat!$D$5:$CK$165,Ökobaudat!$BX$1,0),"")</f>
        <v/>
      </c>
    </row>
    <row r="71" spans="2:31" ht="13.5" x14ac:dyDescent="0.2">
      <c r="B71" s="346">
        <f t="shared" si="16"/>
        <v>209</v>
      </c>
      <c r="C71" s="145" t="str">
        <f t="shared" si="14"/>
        <v>209-;  kg/m³;  W/(mK);  years</v>
      </c>
      <c r="D71" s="348" t="str">
        <f t="shared" si="6"/>
        <v>209</v>
      </c>
      <c r="E71" s="93"/>
      <c r="F71" s="142" t="e">
        <f t="shared" si="7"/>
        <v>#N/A</v>
      </c>
      <c r="G71" s="142" t="e">
        <f t="shared" si="8"/>
        <v>#N/A</v>
      </c>
      <c r="H71" s="94"/>
      <c r="I71" s="133"/>
      <c r="J71" s="133"/>
      <c r="K71" s="137" t="e">
        <f>VLOOKUP(J71,Ökobaudat!$D$5:$CK$165,Ökobaudat!$T$1,0)</f>
        <v>#N/A</v>
      </c>
      <c r="L71" s="136" t="e">
        <f>VLOOKUP(J71,Ökobaudat!$D$5:$CK$165,Ökobaudat!$U$1,0)</f>
        <v>#N/A</v>
      </c>
      <c r="M71" s="93"/>
      <c r="N71" s="139" t="str">
        <f t="shared" si="15"/>
        <v/>
      </c>
      <c r="O71" s="135" t="str">
        <f>IF(ISNUMBER(VLOOKUP(J71,Ökobaudat!$D$5:$CK$165,Ökobaudat!$AA$1,0)),VLOOKUP(J71,Ökobaudat!$D$5:$CK$165,Ökobaudat!$AA$1,0),"")</f>
        <v/>
      </c>
      <c r="P71" s="93"/>
      <c r="Q71" s="135" t="str">
        <f>IF(ISNUMBER(VLOOKUP(J71,Ökobaudat!$D$5:$CK$160,Ökobaudat!$Z$1,0)),VLOOKUP(J71,Ökobaudat!$D$5:$CK$160,Ökobaudat!$Z$1,0),"")</f>
        <v/>
      </c>
      <c r="R71" s="138"/>
      <c r="S71" s="140" t="str">
        <f t="shared" si="17"/>
        <v/>
      </c>
      <c r="T71" s="124">
        <f t="shared" si="13"/>
        <v>1</v>
      </c>
      <c r="U71" s="124" t="e">
        <f>IF(Balance!$H$12=Data!$B$4,W71,V71)</f>
        <v>#N/A</v>
      </c>
      <c r="V71" s="124" t="e">
        <f t="shared" si="10"/>
        <v>#N/A</v>
      </c>
      <c r="W71" s="124" t="e">
        <f t="shared" si="11"/>
        <v>#N/A</v>
      </c>
      <c r="X71" s="124">
        <f t="shared" si="12"/>
        <v>0</v>
      </c>
      <c r="Y71" s="136" t="e">
        <f>VLOOKUP(J71,Ökobaudat!$D$5:$CK$165,Ökobaudat!$AM$1,0)/$Y$7</f>
        <v>#N/A</v>
      </c>
      <c r="Z71" s="136" t="e">
        <f>VLOOKUP(J71,Ökobaudat!$D$5:$CK$165,Ökobaudat!$AN$1,0)/$Y$7</f>
        <v>#N/A</v>
      </c>
      <c r="AA71" s="136" t="e">
        <f>VLOOKUP(J71,Ökobaudat!$D$5:$CK$165,Ökobaudat!$AP$1,0)/$Y$7</f>
        <v>#N/A</v>
      </c>
      <c r="AB71" s="136" t="e">
        <f>VLOOKUP(J71,Ökobaudat!$D$5:$CK$165,Ökobaudat!$AQ$1,0)/$Y$7</f>
        <v>#N/A</v>
      </c>
      <c r="AC71" s="136" t="str">
        <f>IF(ISNUMBER(VLOOKUP(J71,Ökobaudat!$D$5:$CK$165,Ökobaudat!$AF$1,0)),VLOOKUP(J71,Ökobaudat!$D$5:$CK$165,Ökobaudat!$AF$1,0),"")</f>
        <v/>
      </c>
      <c r="AD71" s="136" t="str">
        <f>IF(ISNUMBER(VLOOKUP(J71,Ökobaudat!$D$5:$CK$165,Ökobaudat!$BF$1,0)),VLOOKUP(J71,Ökobaudat!$D$5:$CK$165,Ökobaudat!$BF$1,0),"")</f>
        <v/>
      </c>
      <c r="AE71" s="136" t="str">
        <f>IF(ISTEXT(VLOOKUP(J71,Ökobaudat!$D$5:$CK$165,Ökobaudat!$BX$1,0)),VLOOKUP(J71,Ökobaudat!$D$5:$CK$165,Ökobaudat!$BX$1,0),"")</f>
        <v/>
      </c>
    </row>
    <row r="72" spans="2:31" ht="13.5" x14ac:dyDescent="0.2">
      <c r="B72" s="346">
        <f t="shared" si="16"/>
        <v>210</v>
      </c>
      <c r="C72" s="145" t="str">
        <f t="shared" si="14"/>
        <v>210-;  kg/m³;  W/(mK);  years</v>
      </c>
      <c r="D72" s="348" t="str">
        <f t="shared" si="6"/>
        <v>210</v>
      </c>
      <c r="E72" s="93"/>
      <c r="F72" s="142" t="e">
        <f t="shared" si="7"/>
        <v>#N/A</v>
      </c>
      <c r="G72" s="142" t="e">
        <f t="shared" si="8"/>
        <v>#N/A</v>
      </c>
      <c r="H72" s="94"/>
      <c r="I72" s="133"/>
      <c r="J72" s="133"/>
      <c r="K72" s="137" t="e">
        <f>VLOOKUP(J72,Ökobaudat!$D$5:$CK$165,Ökobaudat!$T$1,0)</f>
        <v>#N/A</v>
      </c>
      <c r="L72" s="136" t="e">
        <f>VLOOKUP(J72,Ökobaudat!$D$5:$CK$165,Ökobaudat!$U$1,0)</f>
        <v>#N/A</v>
      </c>
      <c r="M72" s="93"/>
      <c r="N72" s="139" t="str">
        <f t="shared" si="15"/>
        <v/>
      </c>
      <c r="O72" s="135" t="str">
        <f>IF(ISNUMBER(VLOOKUP(J72,Ökobaudat!$D$5:$CK$165,Ökobaudat!$AA$1,0)),VLOOKUP(J72,Ökobaudat!$D$5:$CK$165,Ökobaudat!$AA$1,0),"")</f>
        <v/>
      </c>
      <c r="P72" s="93"/>
      <c r="Q72" s="135" t="str">
        <f>IF(ISNUMBER(VLOOKUP(J72,Ökobaudat!$D$5:$CK$160,Ökobaudat!$Z$1,0)),VLOOKUP(J72,Ökobaudat!$D$5:$CK$160,Ökobaudat!$Z$1,0),"")</f>
        <v/>
      </c>
      <c r="R72" s="138"/>
      <c r="S72" s="140" t="str">
        <f t="shared" si="17"/>
        <v/>
      </c>
      <c r="T72" s="124">
        <f t="shared" si="13"/>
        <v>1</v>
      </c>
      <c r="U72" s="124" t="e">
        <f>IF(Balance!$H$12=Data!$B$4,W72,V72)</f>
        <v>#N/A</v>
      </c>
      <c r="V72" s="124" t="e">
        <f t="shared" si="10"/>
        <v>#N/A</v>
      </c>
      <c r="W72" s="124" t="e">
        <f t="shared" si="11"/>
        <v>#N/A</v>
      </c>
      <c r="X72" s="124">
        <f t="shared" si="12"/>
        <v>0</v>
      </c>
      <c r="Y72" s="136" t="e">
        <f>VLOOKUP(J72,Ökobaudat!$D$5:$CK$165,Ökobaudat!$AM$1,0)/$Y$7</f>
        <v>#N/A</v>
      </c>
      <c r="Z72" s="136" t="e">
        <f>VLOOKUP(J72,Ökobaudat!$D$5:$CK$165,Ökobaudat!$AN$1,0)/$Y$7</f>
        <v>#N/A</v>
      </c>
      <c r="AA72" s="136" t="e">
        <f>VLOOKUP(J72,Ökobaudat!$D$5:$CK$165,Ökobaudat!$AP$1,0)/$Y$7</f>
        <v>#N/A</v>
      </c>
      <c r="AB72" s="136" t="e">
        <f>VLOOKUP(J72,Ökobaudat!$D$5:$CK$165,Ökobaudat!$AQ$1,0)/$Y$7</f>
        <v>#N/A</v>
      </c>
      <c r="AC72" s="136" t="str">
        <f>IF(ISNUMBER(VLOOKUP(J72,Ökobaudat!$D$5:$CK$165,Ökobaudat!$AF$1,0)),VLOOKUP(J72,Ökobaudat!$D$5:$CK$165,Ökobaudat!$AF$1,0),"")</f>
        <v/>
      </c>
      <c r="AD72" s="136" t="str">
        <f>IF(ISNUMBER(VLOOKUP(J72,Ökobaudat!$D$5:$CK$165,Ökobaudat!$BF$1,0)),VLOOKUP(J72,Ökobaudat!$D$5:$CK$165,Ökobaudat!$BF$1,0),"")</f>
        <v/>
      </c>
      <c r="AE72" s="136" t="str">
        <f>IF(ISTEXT(VLOOKUP(J72,Ökobaudat!$D$5:$CK$165,Ökobaudat!$BX$1,0)),VLOOKUP(J72,Ökobaudat!$D$5:$CK$165,Ökobaudat!$BX$1,0),"")</f>
        <v/>
      </c>
    </row>
    <row r="73" spans="2:31" ht="13.5" x14ac:dyDescent="0.2">
      <c r="B73" s="346">
        <v>300</v>
      </c>
      <c r="C73" s="145" t="str">
        <f t="shared" si="14"/>
        <v>300-Soft Timber for windows</v>
      </c>
      <c r="D73" s="348" t="str">
        <f t="shared" si="6"/>
        <v>300</v>
      </c>
      <c r="E73" s="93"/>
      <c r="F73" s="142">
        <f t="shared" si="7"/>
        <v>1434.0932694222695</v>
      </c>
      <c r="G73" s="142">
        <f t="shared" si="8"/>
        <v>-636.14449532812898</v>
      </c>
      <c r="H73" s="94">
        <v>40</v>
      </c>
      <c r="I73" s="133" t="s">
        <v>673</v>
      </c>
      <c r="J73" s="133" t="s">
        <v>513</v>
      </c>
      <c r="K73" s="137">
        <f>VLOOKUP(J73,Ökobaudat!$D$5:$CK$165,Ökobaudat!$T$1,0)</f>
        <v>1</v>
      </c>
      <c r="L73" s="136" t="str">
        <f>VLOOKUP(J73,Ökobaudat!$D$5:$CK$165,Ökobaudat!$U$1,0)</f>
        <v>m3</v>
      </c>
      <c r="M73" s="93"/>
      <c r="N73" s="139" t="str">
        <f t="shared" si="15"/>
        <v/>
      </c>
      <c r="O73" s="135" t="str">
        <f>IF(ISNUMBER(VLOOKUP(J73,Ökobaudat!$D$5:$CK$165,Ökobaudat!$AA$1,0)),VLOOKUP(J73,Ökobaudat!$D$5:$CK$165,Ökobaudat!$AA$1,0),"")</f>
        <v/>
      </c>
      <c r="P73" s="93"/>
      <c r="Q73" s="135">
        <f>IF(ISNUMBER(VLOOKUP(J73,Ökobaudat!$D$5:$CK$160,Ökobaudat!$Z$1,0)),VLOOKUP(J73,Ökobaudat!$D$5:$CK$160,Ökobaudat!$Z$1,0),"")</f>
        <v>529</v>
      </c>
      <c r="R73" s="138"/>
      <c r="S73" s="140">
        <f t="shared" si="17"/>
        <v>529</v>
      </c>
      <c r="T73" s="124">
        <f t="shared" si="13"/>
        <v>1</v>
      </c>
      <c r="U73" s="124">
        <f>IF(Balance!$H$12=Data!$B$4,W73,V73)</f>
        <v>1434.0932694222695</v>
      </c>
      <c r="V73" s="124">
        <f t="shared" si="10"/>
        <v>1434.0932694222695</v>
      </c>
      <c r="W73" s="124">
        <f t="shared" si="11"/>
        <v>4079.0932694222697</v>
      </c>
      <c r="X73" s="124">
        <f t="shared" si="12"/>
        <v>-636.14449532812898</v>
      </c>
      <c r="Y73" s="136">
        <f>VLOOKUP(J73,Ökobaudat!$D$5:$CK$165,Ökobaudat!$AM$1,0)/$Y$7</f>
        <v>686.36726273180273</v>
      </c>
      <c r="Z73" s="136">
        <f>VLOOKUP(J73,Ökobaudat!$D$5:$CK$165,Ökobaudat!$AN$1,0)/$Y$7</f>
        <v>2645</v>
      </c>
      <c r="AA73" s="136">
        <f>VLOOKUP(J73,Ökobaudat!$D$5:$CK$165,Ökobaudat!$AP$1,0)/$Y$7</f>
        <v>747.72600669046676</v>
      </c>
      <c r="AB73" s="136">
        <f>VLOOKUP(J73,Ökobaudat!$D$5:$CK$165,Ökobaudat!$AQ$1,0)/$Y$7</f>
        <v>0</v>
      </c>
      <c r="AC73" s="136" t="str">
        <f>IF(ISNUMBER(VLOOKUP(J73,Ökobaudat!$D$5:$CK$165,Ökobaudat!$AF$1,0)),VLOOKUP(J73,Ökobaudat!$D$5:$CK$165,Ökobaudat!$AF$1,0),"")</f>
        <v/>
      </c>
      <c r="AD73" s="136">
        <f>IF(ISNUMBER(VLOOKUP(J73,Ökobaudat!$D$5:$CK$165,Ökobaudat!$BF$1,0)),VLOOKUP(J73,Ökobaudat!$D$5:$CK$165,Ökobaudat!$BF$1,0),"")</f>
        <v>-636.14449532812898</v>
      </c>
      <c r="AE73" s="136" t="str">
        <f>IF(ISTEXT(VLOOKUP(J73,Ökobaudat!$D$5:$CK$165,Ökobaudat!$BX$1,0)),VLOOKUP(J73,Ökobaudat!$D$5:$CK$165,Ökobaudat!$BX$1,0),"")</f>
        <v/>
      </c>
    </row>
    <row r="74" spans="2:31" ht="13.5" x14ac:dyDescent="0.2">
      <c r="B74" s="346">
        <f t="shared" si="16"/>
        <v>301</v>
      </c>
      <c r="C74" s="145" t="str">
        <f t="shared" si="14"/>
        <v>301-EPDM gasket</v>
      </c>
      <c r="D74" s="348" t="str">
        <f t="shared" si="6"/>
        <v>301</v>
      </c>
      <c r="E74" s="93"/>
      <c r="F74" s="142">
        <f t="shared" si="7"/>
        <v>8577.8982058033398</v>
      </c>
      <c r="G74" s="142">
        <f t="shared" si="8"/>
        <v>1740.6610483823918</v>
      </c>
      <c r="H74" s="94">
        <v>20</v>
      </c>
      <c r="I74" s="133" t="s">
        <v>682</v>
      </c>
      <c r="J74" s="133" t="s">
        <v>762</v>
      </c>
      <c r="K74" s="137">
        <f>VLOOKUP(J74,Ökobaudat!$D$5:$CK$165,Ökobaudat!$T$1,0)</f>
        <v>1</v>
      </c>
      <c r="L74" s="136" t="str">
        <f>VLOOKUP(J74,Ökobaudat!$D$5:$CK$165,Ökobaudat!$U$1,0)</f>
        <v>kg</v>
      </c>
      <c r="M74" s="93"/>
      <c r="N74" s="139" t="str">
        <f t="shared" si="15"/>
        <v/>
      </c>
      <c r="O74" s="135" t="str">
        <f>IF(ISNUMBER(VLOOKUP(J74,Ökobaudat!$D$5:$CK$165,Ökobaudat!$AA$1,0)),VLOOKUP(J74,Ökobaudat!$D$5:$CK$165,Ökobaudat!$AA$1,0),"")</f>
        <v/>
      </c>
      <c r="P74" s="93"/>
      <c r="Q74" s="135">
        <f>IF(ISNUMBER(VLOOKUP(J74,Ökobaudat!$D$5:$CK$160,Ökobaudat!$Z$1,0)),VLOOKUP(J74,Ökobaudat!$D$5:$CK$160,Ökobaudat!$Z$1,0),"")</f>
        <v>400</v>
      </c>
      <c r="R74" s="138"/>
      <c r="S74" s="140">
        <f t="shared" si="17"/>
        <v>400</v>
      </c>
      <c r="T74" s="124">
        <f t="shared" si="13"/>
        <v>1</v>
      </c>
      <c r="U74" s="124">
        <f>IF(Balance!$H$12=Data!$B$4,W74,V74)</f>
        <v>21.444745514508352</v>
      </c>
      <c r="V74" s="124">
        <f t="shared" si="10"/>
        <v>21.444745514508352</v>
      </c>
      <c r="W74" s="124">
        <f t="shared" si="11"/>
        <v>33.389189958952798</v>
      </c>
      <c r="X74" s="124">
        <f t="shared" si="12"/>
        <v>4.3516526209559796</v>
      </c>
      <c r="Y74" s="136">
        <f>VLOOKUP(J74,Ökobaudat!$D$5:$CK$165,Ökobaudat!$AM$1,0)/$Y$7</f>
        <v>2.2666559190549913</v>
      </c>
      <c r="Z74" s="136">
        <f>VLOOKUP(J74,Ökobaudat!$D$5:$CK$165,Ökobaudat!$AN$1,0)/$Y$7</f>
        <v>0</v>
      </c>
      <c r="AA74" s="136">
        <f>VLOOKUP(J74,Ökobaudat!$D$5:$CK$165,Ökobaudat!$AP$1,0)/$Y$7</f>
        <v>19.178089595453361</v>
      </c>
      <c r="AB74" s="136">
        <f>VLOOKUP(J74,Ökobaudat!$D$5:$CK$165,Ökobaudat!$AQ$1,0)/$Y$7</f>
        <v>11.944444444444445</v>
      </c>
      <c r="AC74" s="136" t="str">
        <f>IF(ISNUMBER(VLOOKUP(J74,Ökobaudat!$D$5:$CK$165,Ökobaudat!$AF$1,0)),VLOOKUP(J74,Ökobaudat!$D$5:$CK$165,Ökobaudat!$AF$1,0),"")</f>
        <v/>
      </c>
      <c r="AD74" s="136">
        <f>IF(ISNUMBER(VLOOKUP(J74,Ökobaudat!$D$5:$CK$165,Ökobaudat!$BF$1,0)),VLOOKUP(J74,Ökobaudat!$D$5:$CK$165,Ökobaudat!$BF$1,0),"")</f>
        <v>4.3516526209559796</v>
      </c>
      <c r="AE74" s="136" t="str">
        <f>IF(ISTEXT(VLOOKUP(J74,Ökobaudat!$D$5:$CK$165,Ökobaudat!$BX$1,0)),VLOOKUP(J74,Ökobaudat!$D$5:$CK$165,Ökobaudat!$BX$1,0),"")</f>
        <v/>
      </c>
    </row>
    <row r="75" spans="2:31" ht="13.5" x14ac:dyDescent="0.2">
      <c r="B75" s="346">
        <f t="shared" si="16"/>
        <v>302</v>
      </c>
      <c r="C75" s="145" t="str">
        <f t="shared" ref="C75:C106" si="18">B75&amp;"-"&amp;IF(ISTEXT(I75),I75,J75&amp;"; "&amp;S75&amp;" kg/m³; "&amp;E75&amp;" W/(mK); "&amp;H75&amp;" years")</f>
        <v>302-Insulation tape</v>
      </c>
      <c r="D75" s="348" t="str">
        <f t="shared" si="6"/>
        <v>302</v>
      </c>
      <c r="E75" s="93"/>
      <c r="F75" s="142">
        <f t="shared" ref="F75:F88" si="19">IF(L75=$F$6,IF(ISNUMBER(Q75),Q75*U75,U75*S75),IF(L75=$F$4,U75/N75,U75))</f>
        <v>466.17168646647775</v>
      </c>
      <c r="G75" s="142">
        <f t="shared" si="8"/>
        <v>277.61449206973299</v>
      </c>
      <c r="H75" s="94">
        <v>40</v>
      </c>
      <c r="I75" s="133" t="s">
        <v>676</v>
      </c>
      <c r="J75" s="133" t="s">
        <v>687</v>
      </c>
      <c r="K75" s="137">
        <f>VLOOKUP(J75,Ökobaudat!$D$5:$CK$165,Ökobaudat!$T$1,0)</f>
        <v>1</v>
      </c>
      <c r="L75" s="136" t="str">
        <f>VLOOKUP(J75,Ökobaudat!$D$5:$CK$165,Ökobaudat!$U$1,0)</f>
        <v>m3</v>
      </c>
      <c r="M75" s="93"/>
      <c r="N75" s="139" t="str">
        <f t="shared" ref="N75:N106" si="20">IF(ISNUMBER(M75),M75/1000,IF(ISNUMBER(P75),P75/S75,""))</f>
        <v/>
      </c>
      <c r="O75" s="135" t="str">
        <f>IF(ISNUMBER(VLOOKUP(J75,Ökobaudat!$D$5:$CK$165,Ökobaudat!$AA$1,0)),VLOOKUP(J75,Ökobaudat!$D$5:$CK$165,Ökobaudat!$AA$1,0),"")</f>
        <v/>
      </c>
      <c r="P75" s="93"/>
      <c r="Q75" s="135">
        <f>IF(ISNUMBER(VLOOKUP(J75,Ökobaudat!$D$5:$CK$160,Ökobaudat!$Z$1,0)),VLOOKUP(J75,Ökobaudat!$D$5:$CK$160,Ökobaudat!$Z$1,0),"")</f>
        <v>48.35</v>
      </c>
      <c r="R75" s="138"/>
      <c r="S75" s="140">
        <f t="shared" si="17"/>
        <v>48.35</v>
      </c>
      <c r="T75" s="124">
        <f t="shared" si="13"/>
        <v>1</v>
      </c>
      <c r="U75" s="124">
        <f>IF(Balance!$H$12=Data!$B$4,W75,V75)</f>
        <v>466.17168646647775</v>
      </c>
      <c r="V75" s="124">
        <f t="shared" si="10"/>
        <v>466.17168646647775</v>
      </c>
      <c r="W75" s="124">
        <f t="shared" si="11"/>
        <v>1565.8221174469604</v>
      </c>
      <c r="X75" s="124">
        <f t="shared" si="12"/>
        <v>277.61449206973299</v>
      </c>
      <c r="Y75" s="136">
        <f>VLOOKUP(J75,Ökobaudat!$D$5:$CK$165,Ökobaudat!$AM$1,0)/$Y$7</f>
        <v>151.99096239349723</v>
      </c>
      <c r="Z75" s="136">
        <f>VLOOKUP(J75,Ökobaudat!$D$5:$CK$165,Ökobaudat!$AN$1,0)/$Y$7</f>
        <v>14.848684554279945</v>
      </c>
      <c r="AA75" s="136">
        <f>VLOOKUP(J75,Ökobaudat!$D$5:$CK$165,Ökobaudat!$AP$1,0)/$Y$7</f>
        <v>314.18072407298052</v>
      </c>
      <c r="AB75" s="136">
        <f>VLOOKUP(J75,Ökobaudat!$D$5:$CK$165,Ökobaudat!$AQ$1,0)/$Y$7</f>
        <v>1084.8017464262027</v>
      </c>
      <c r="AC75" s="136">
        <f>IF(ISNUMBER(VLOOKUP(J75,Ökobaudat!$D$5:$CK$165,Ökobaudat!$AF$1,0)),VLOOKUP(J75,Ökobaudat!$D$5:$CK$165,Ökobaudat!$AF$1,0),"")</f>
        <v>277.61449206973299</v>
      </c>
      <c r="AD75" s="136" t="str">
        <f>IF(ISNUMBER(VLOOKUP(J75,Ökobaudat!$D$5:$CK$165,Ökobaudat!$BF$1,0)),VLOOKUP(J75,Ökobaudat!$D$5:$CK$165,Ökobaudat!$BF$1,0),"")</f>
        <v/>
      </c>
      <c r="AE75" s="136" t="str">
        <f>IF(ISTEXT(VLOOKUP(J75,Ökobaudat!$D$5:$CK$165,Ökobaudat!$BX$1,0)),VLOOKUP(J75,Ökobaudat!$D$5:$CK$165,Ökobaudat!$BX$1,0),"")</f>
        <v/>
      </c>
    </row>
    <row r="76" spans="2:31" ht="13.5" x14ac:dyDescent="0.2">
      <c r="B76" s="346">
        <f t="shared" si="16"/>
        <v>303</v>
      </c>
      <c r="C76" s="145" t="str">
        <f t="shared" si="18"/>
        <v>303-Silicone sealing compound; 1100 kg/m³;  W/(mK); 40 years</v>
      </c>
      <c r="D76" s="348" t="str">
        <f t="shared" ref="D76:D110" si="21">LEFT(C76,3)</f>
        <v>303</v>
      </c>
      <c r="E76" s="93"/>
      <c r="F76" s="142">
        <f t="shared" si="19"/>
        <v>56758.989170428904</v>
      </c>
      <c r="G76" s="142">
        <f t="shared" ref="G76:G110" si="22">IF(L76=$F$6,X76*S76,IF(L76=$F$4,X76/N76,X76))</f>
        <v>10071.17420653871</v>
      </c>
      <c r="H76" s="94">
        <v>40</v>
      </c>
      <c r="I76" s="133"/>
      <c r="J76" s="133" t="s">
        <v>698</v>
      </c>
      <c r="K76" s="137">
        <f>VLOOKUP(J76,Ökobaudat!$D$5:$CK$165,Ökobaudat!$T$1,0)</f>
        <v>1</v>
      </c>
      <c r="L76" s="136" t="str">
        <f>VLOOKUP(J76,Ökobaudat!$D$5:$CK$165,Ökobaudat!$U$1,0)</f>
        <v>kg</v>
      </c>
      <c r="M76" s="93"/>
      <c r="N76" s="139" t="str">
        <f t="shared" si="20"/>
        <v/>
      </c>
      <c r="O76" s="135" t="str">
        <f>IF(ISNUMBER(VLOOKUP(J76,Ökobaudat!$D$5:$CK$165,Ökobaudat!$AA$1,0)),VLOOKUP(J76,Ökobaudat!$D$5:$CK$165,Ökobaudat!$AA$1,0),"")</f>
        <v/>
      </c>
      <c r="P76" s="93"/>
      <c r="Q76" s="135">
        <f>IF(ISNUMBER(VLOOKUP(J76,Ökobaudat!$D$5:$CK$160,Ökobaudat!$Z$1,0)),VLOOKUP(J76,Ökobaudat!$D$5:$CK$160,Ökobaudat!$Z$1,0),"")</f>
        <v>1100</v>
      </c>
      <c r="R76" s="138"/>
      <c r="S76" s="140">
        <f t="shared" si="17"/>
        <v>1100</v>
      </c>
      <c r="T76" s="124">
        <f t="shared" si="13"/>
        <v>1</v>
      </c>
      <c r="U76" s="124">
        <f>IF(Balance!$H$12=Data!$B$4,W76,V76)</f>
        <v>51.599081064026279</v>
      </c>
      <c r="V76" s="124">
        <f t="shared" ref="V76:V110" si="23">T76*SUM(Y76,AA76)</f>
        <v>51.599081064026279</v>
      </c>
      <c r="W76" s="124">
        <f t="shared" ref="W76:W110" si="24">T76*SUM(Y76:AB76)</f>
        <v>56.599081064026279</v>
      </c>
      <c r="X76" s="124">
        <f t="shared" ref="X76:X110" si="25">T76*SUM(AC76:AD76)</f>
        <v>9.1556129150351904</v>
      </c>
      <c r="Y76" s="136">
        <f>VLOOKUP(J76,Ökobaudat!$D$5:$CK$165,Ökobaudat!$AM$1,0)/$Y$7</f>
        <v>18.384093851197111</v>
      </c>
      <c r="Z76" s="136">
        <f>VLOOKUP(J76,Ökobaudat!$D$5:$CK$165,Ökobaudat!$AN$1,0)/$Y$7</f>
        <v>0</v>
      </c>
      <c r="AA76" s="136">
        <f>VLOOKUP(J76,Ökobaudat!$D$5:$CK$165,Ökobaudat!$AP$1,0)/$Y$7</f>
        <v>33.214987212829165</v>
      </c>
      <c r="AB76" s="136">
        <f>VLOOKUP(J76,Ökobaudat!$D$5:$CK$165,Ökobaudat!$AQ$1,0)/$Y$7</f>
        <v>5</v>
      </c>
      <c r="AC76" s="136" t="str">
        <f>IF(ISNUMBER(VLOOKUP(J76,Ökobaudat!$D$5:$CK$165,Ökobaudat!$AF$1,0)),VLOOKUP(J76,Ökobaudat!$D$5:$CK$165,Ökobaudat!$AF$1,0),"")</f>
        <v/>
      </c>
      <c r="AD76" s="136">
        <f>IF(ISNUMBER(VLOOKUP(J76,Ökobaudat!$D$5:$CK$165,Ökobaudat!$BF$1,0)),VLOOKUP(J76,Ökobaudat!$D$5:$CK$165,Ökobaudat!$BF$1,0),"")</f>
        <v>9.1556129150351904</v>
      </c>
      <c r="AE76" s="136" t="str">
        <f>IF(ISTEXT(VLOOKUP(J76,Ökobaudat!$D$5:$CK$165,Ökobaudat!$BX$1,0)),VLOOKUP(J76,Ökobaudat!$D$5:$CK$165,Ökobaudat!$BX$1,0),"")</f>
        <v/>
      </c>
    </row>
    <row r="77" spans="2:31" ht="13.5" x14ac:dyDescent="0.2">
      <c r="B77" s="346">
        <f t="shared" si="16"/>
        <v>304</v>
      </c>
      <c r="C77" s="145" t="str">
        <f t="shared" si="18"/>
        <v>304-Steel section; 7850 kg/m³;  W/(mK); 40 years</v>
      </c>
      <c r="D77" s="348" t="str">
        <f t="shared" si="21"/>
        <v>304</v>
      </c>
      <c r="E77" s="93"/>
      <c r="F77" s="142">
        <f t="shared" si="19"/>
        <v>31554.72432133375</v>
      </c>
      <c r="G77" s="142">
        <f t="shared" si="22"/>
        <v>7570.5013256411439</v>
      </c>
      <c r="H77" s="94">
        <v>40</v>
      </c>
      <c r="I77" s="133"/>
      <c r="J77" s="133" t="s">
        <v>706</v>
      </c>
      <c r="K77" s="137">
        <f>VLOOKUP(J77,Ökobaudat!$D$5:$CK$165,Ökobaudat!$T$1,0)</f>
        <v>1</v>
      </c>
      <c r="L77" s="136" t="str">
        <f>VLOOKUP(J77,Ökobaudat!$D$5:$CK$165,Ökobaudat!$U$1,0)</f>
        <v>kg</v>
      </c>
      <c r="M77" s="93"/>
      <c r="N77" s="139" t="str">
        <f t="shared" si="20"/>
        <v/>
      </c>
      <c r="O77" s="135" t="str">
        <f>IF(ISNUMBER(VLOOKUP(J77,Ökobaudat!$D$5:$CK$165,Ökobaudat!$AA$1,0)),VLOOKUP(J77,Ökobaudat!$D$5:$CK$165,Ökobaudat!$AA$1,0),"")</f>
        <v/>
      </c>
      <c r="P77" s="93"/>
      <c r="Q77" s="135">
        <f>IF(ISNUMBER(VLOOKUP(J77,Ökobaudat!$D$5:$CK$160,Ökobaudat!$Z$1,0)),VLOOKUP(J77,Ökobaudat!$D$5:$CK$160,Ökobaudat!$Z$1,0),"")</f>
        <v>7850</v>
      </c>
      <c r="R77" s="138"/>
      <c r="S77" s="140">
        <f t="shared" si="17"/>
        <v>7850</v>
      </c>
      <c r="T77" s="124">
        <f t="shared" si="13"/>
        <v>1</v>
      </c>
      <c r="U77" s="124">
        <f>IF(Balance!$H$12=Data!$B$4,W77,V77)</f>
        <v>4.0197101046285031</v>
      </c>
      <c r="V77" s="124">
        <f t="shared" si="23"/>
        <v>4.0197101046285031</v>
      </c>
      <c r="W77" s="124">
        <f t="shared" si="24"/>
        <v>4.0197101046285031</v>
      </c>
      <c r="X77" s="124">
        <f t="shared" si="25"/>
        <v>0.96439507333008201</v>
      </c>
      <c r="Y77" s="136">
        <f>VLOOKUP(J77,Ökobaudat!$D$5:$CK$165,Ökobaudat!$AM$1,0)/$Y$7</f>
        <v>1.0423835334936415</v>
      </c>
      <c r="Z77" s="136">
        <f>VLOOKUP(J77,Ökobaudat!$D$5:$CK$165,Ökobaudat!$AN$1,0)/$Y$7</f>
        <v>0</v>
      </c>
      <c r="AA77" s="136">
        <f>VLOOKUP(J77,Ökobaudat!$D$5:$CK$165,Ökobaudat!$AP$1,0)/$Y$7</f>
        <v>2.9773265711348613</v>
      </c>
      <c r="AB77" s="136">
        <f>VLOOKUP(J77,Ökobaudat!$D$5:$CK$165,Ökobaudat!$AQ$1,0)/$Y$7</f>
        <v>0</v>
      </c>
      <c r="AC77" s="136" t="str">
        <f>IF(ISNUMBER(VLOOKUP(J77,Ökobaudat!$D$5:$CK$165,Ökobaudat!$AF$1,0)),VLOOKUP(J77,Ökobaudat!$D$5:$CK$165,Ökobaudat!$AF$1,0),"")</f>
        <v/>
      </c>
      <c r="AD77" s="136">
        <f>IF(ISNUMBER(VLOOKUP(J77,Ökobaudat!$D$5:$CK$165,Ökobaudat!$BF$1,0)),VLOOKUP(J77,Ökobaudat!$D$5:$CK$165,Ökobaudat!$BF$1,0),"")</f>
        <v>0.96439507333008201</v>
      </c>
      <c r="AE77" s="136" t="str">
        <f>IF(ISTEXT(VLOOKUP(J77,Ökobaudat!$D$5:$CK$165,Ökobaudat!$BX$1,0)),VLOOKUP(J77,Ökobaudat!$D$5:$CK$165,Ökobaudat!$BX$1,0),"")</f>
        <v/>
      </c>
    </row>
    <row r="78" spans="2:31" ht="13.5" x14ac:dyDescent="0.2">
      <c r="B78" s="346">
        <f t="shared" si="16"/>
        <v>305</v>
      </c>
      <c r="C78" s="145" t="str">
        <f t="shared" si="18"/>
        <v>305-Application primer water based (windows, white); 1150 kg/m³;  W/(mK); 40 years</v>
      </c>
      <c r="D78" s="348" t="str">
        <f t="shared" si="21"/>
        <v>305</v>
      </c>
      <c r="E78" s="93"/>
      <c r="F78" s="142">
        <f t="shared" si="19"/>
        <v>12876.183614626107</v>
      </c>
      <c r="G78" s="142">
        <f t="shared" si="22"/>
        <v>2121.6494532607658</v>
      </c>
      <c r="H78" s="94">
        <v>40</v>
      </c>
      <c r="I78" s="133"/>
      <c r="J78" s="133" t="s">
        <v>725</v>
      </c>
      <c r="K78" s="137">
        <f>VLOOKUP(J78,Ökobaudat!$D$5:$CK$165,Ökobaudat!$T$1,0)</f>
        <v>1</v>
      </c>
      <c r="L78" s="136" t="str">
        <f>VLOOKUP(J78,Ökobaudat!$D$5:$CK$165,Ökobaudat!$U$1,0)</f>
        <v>kg</v>
      </c>
      <c r="M78" s="93"/>
      <c r="N78" s="139" t="str">
        <f t="shared" si="20"/>
        <v/>
      </c>
      <c r="O78" s="135" t="str">
        <f>IF(ISNUMBER(VLOOKUP(J78,Ökobaudat!$D$5:$CK$165,Ökobaudat!$AA$1,0)),VLOOKUP(J78,Ökobaudat!$D$5:$CK$165,Ökobaudat!$AA$1,0),"")</f>
        <v/>
      </c>
      <c r="P78" s="93"/>
      <c r="Q78" s="135" t="str">
        <f>IF(ISNUMBER(VLOOKUP(J78,Ökobaudat!$D$5:$CK$160,Ökobaudat!$Z$1,0)),VLOOKUP(J78,Ökobaudat!$D$5:$CK$160,Ökobaudat!$Z$1,0),"")</f>
        <v/>
      </c>
      <c r="R78" s="138">
        <v>1150</v>
      </c>
      <c r="S78" s="140">
        <f t="shared" si="17"/>
        <v>1150</v>
      </c>
      <c r="T78" s="124">
        <f t="shared" si="13"/>
        <v>1</v>
      </c>
      <c r="U78" s="124">
        <f>IF(Balance!$H$12=Data!$B$4,W78,V78)</f>
        <v>11.196681404022701</v>
      </c>
      <c r="V78" s="124">
        <f t="shared" si="23"/>
        <v>11.196681404022701</v>
      </c>
      <c r="W78" s="124">
        <f t="shared" si="24"/>
        <v>13.280014737356035</v>
      </c>
      <c r="X78" s="124">
        <f t="shared" si="25"/>
        <v>1.84491256805284</v>
      </c>
      <c r="Y78" s="136">
        <f>VLOOKUP(J78,Ökobaudat!$D$5:$CK$165,Ökobaudat!$AM$1,0)/$Y$7</f>
        <v>1.8273879063707583</v>
      </c>
      <c r="Z78" s="136">
        <f>VLOOKUP(J78,Ökobaudat!$D$5:$CK$165,Ökobaudat!$AN$1,0)/$Y$7</f>
        <v>0</v>
      </c>
      <c r="AA78" s="136">
        <f>VLOOKUP(J78,Ökobaudat!$D$5:$CK$165,Ökobaudat!$AP$1,0)/$Y$7</f>
        <v>9.3692934976519435</v>
      </c>
      <c r="AB78" s="136">
        <f>VLOOKUP(J78,Ökobaudat!$D$5:$CK$165,Ökobaudat!$AQ$1,0)/$Y$7</f>
        <v>2.0833333333333335</v>
      </c>
      <c r="AC78" s="136" t="str">
        <f>IF(ISNUMBER(VLOOKUP(J78,Ökobaudat!$D$5:$CK$165,Ökobaudat!$AF$1,0)),VLOOKUP(J78,Ökobaudat!$D$5:$CK$165,Ökobaudat!$AF$1,0),"")</f>
        <v/>
      </c>
      <c r="AD78" s="136">
        <f>IF(ISNUMBER(VLOOKUP(J78,Ökobaudat!$D$5:$CK$165,Ökobaudat!$BF$1,0)),VLOOKUP(J78,Ökobaudat!$D$5:$CK$165,Ökobaudat!$BF$1,0),"")</f>
        <v>1.84491256805284</v>
      </c>
      <c r="AE78" s="136" t="str">
        <f>IF(ISTEXT(VLOOKUP(J78,Ökobaudat!$D$5:$CK$165,Ökobaudat!$BX$1,0)),VLOOKUP(J78,Ökobaudat!$D$5:$CK$165,Ökobaudat!$BX$1,0),"")</f>
        <v/>
      </c>
    </row>
    <row r="79" spans="2:31" ht="13.5" x14ac:dyDescent="0.2">
      <c r="B79" s="346">
        <f t="shared" si="16"/>
        <v>306</v>
      </c>
      <c r="C79" s="145" t="str">
        <f t="shared" si="18"/>
        <v>306-Application intermediate coating water based (windows, white); 1150 kg/m³;  W/(mK); 40 years</v>
      </c>
      <c r="D79" s="348" t="str">
        <f t="shared" si="21"/>
        <v>306</v>
      </c>
      <c r="E79" s="93"/>
      <c r="F79" s="142">
        <f t="shared" si="19"/>
        <v>13437.299176949344</v>
      </c>
      <c r="G79" s="142">
        <f t="shared" si="22"/>
        <v>2087.9914411917075</v>
      </c>
      <c r="H79" s="94">
        <v>40</v>
      </c>
      <c r="I79" s="133"/>
      <c r="J79" s="133" t="s">
        <v>713</v>
      </c>
      <c r="K79" s="137">
        <f>VLOOKUP(J79,Ökobaudat!$D$5:$CK$165,Ökobaudat!$T$1,0)</f>
        <v>1</v>
      </c>
      <c r="L79" s="136" t="str">
        <f>VLOOKUP(J79,Ökobaudat!$D$5:$CK$165,Ökobaudat!$U$1,0)</f>
        <v>kg</v>
      </c>
      <c r="M79" s="93"/>
      <c r="N79" s="139" t="str">
        <f t="shared" si="20"/>
        <v/>
      </c>
      <c r="O79" s="135" t="str">
        <f>IF(ISNUMBER(VLOOKUP(J79,Ökobaudat!$D$5:$CK$165,Ökobaudat!$AA$1,0)),VLOOKUP(J79,Ökobaudat!$D$5:$CK$165,Ökobaudat!$AA$1,0),"")</f>
        <v/>
      </c>
      <c r="P79" s="93"/>
      <c r="Q79" s="135" t="str">
        <f>IF(ISNUMBER(VLOOKUP(J79,Ökobaudat!$D$5:$CK$160,Ökobaudat!$Z$1,0)),VLOOKUP(J79,Ökobaudat!$D$5:$CK$160,Ökobaudat!$Z$1,0),"")</f>
        <v/>
      </c>
      <c r="R79" s="138">
        <v>1150</v>
      </c>
      <c r="S79" s="140">
        <f t="shared" si="17"/>
        <v>1150</v>
      </c>
      <c r="T79" s="124">
        <f t="shared" si="13"/>
        <v>1</v>
      </c>
      <c r="U79" s="124">
        <f>IF(Balance!$H$12=Data!$B$4,W79,V79)</f>
        <v>11.684607979955951</v>
      </c>
      <c r="V79" s="124">
        <f t="shared" si="23"/>
        <v>11.684607979955951</v>
      </c>
      <c r="W79" s="124">
        <f t="shared" si="24"/>
        <v>13.767941313289285</v>
      </c>
      <c r="X79" s="124">
        <f t="shared" si="25"/>
        <v>1.81564473147105</v>
      </c>
      <c r="Y79" s="136">
        <f>VLOOKUP(J79,Ökobaudat!$D$5:$CK$165,Ökobaudat!$AM$1,0)/$Y$7</f>
        <v>2.0559862644716165</v>
      </c>
      <c r="Z79" s="136">
        <f>VLOOKUP(J79,Ökobaudat!$D$5:$CK$165,Ökobaudat!$AN$1,0)/$Y$7</f>
        <v>0</v>
      </c>
      <c r="AA79" s="136">
        <f>VLOOKUP(J79,Ökobaudat!$D$5:$CK$165,Ökobaudat!$AP$1,0)/$Y$7</f>
        <v>9.6286217154843339</v>
      </c>
      <c r="AB79" s="136">
        <f>VLOOKUP(J79,Ökobaudat!$D$5:$CK$165,Ökobaudat!$AQ$1,0)/$Y$7</f>
        <v>2.0833333333333335</v>
      </c>
      <c r="AC79" s="136" t="str">
        <f>IF(ISNUMBER(VLOOKUP(J79,Ökobaudat!$D$5:$CK$165,Ökobaudat!$AF$1,0)),VLOOKUP(J79,Ökobaudat!$D$5:$CK$165,Ökobaudat!$AF$1,0),"")</f>
        <v/>
      </c>
      <c r="AD79" s="136">
        <f>IF(ISNUMBER(VLOOKUP(J79,Ökobaudat!$D$5:$CK$165,Ökobaudat!$BF$1,0)),VLOOKUP(J79,Ökobaudat!$D$5:$CK$165,Ökobaudat!$BF$1,0),"")</f>
        <v>1.81564473147105</v>
      </c>
      <c r="AE79" s="136" t="str">
        <f>IF(ISTEXT(VLOOKUP(J79,Ökobaudat!$D$5:$CK$165,Ökobaudat!$BX$1,0)),VLOOKUP(J79,Ökobaudat!$D$5:$CK$165,Ökobaudat!$BX$1,0),"")</f>
        <v/>
      </c>
    </row>
    <row r="80" spans="2:31" ht="13.5" x14ac:dyDescent="0.2">
      <c r="B80" s="346">
        <f t="shared" si="16"/>
        <v>307</v>
      </c>
      <c r="C80" s="145" t="str">
        <f t="shared" si="18"/>
        <v>307-Application top-coating water based (windows, white); 1150 kg/m³;  W/(mK); 10 years</v>
      </c>
      <c r="D80" s="348" t="str">
        <f t="shared" si="21"/>
        <v>307</v>
      </c>
      <c r="E80" s="93"/>
      <c r="F80" s="142">
        <f t="shared" si="19"/>
        <v>12876.183614626107</v>
      </c>
      <c r="G80" s="142">
        <f t="shared" si="22"/>
        <v>2121.6494532607658</v>
      </c>
      <c r="H80" s="94">
        <v>10</v>
      </c>
      <c r="I80" s="133"/>
      <c r="J80" s="133" t="s">
        <v>721</v>
      </c>
      <c r="K80" s="137">
        <f>VLOOKUP(J80,Ökobaudat!$D$5:$CK$165,Ökobaudat!$T$1,0)</f>
        <v>1</v>
      </c>
      <c r="L80" s="136" t="str">
        <f>VLOOKUP(J80,Ökobaudat!$D$5:$CK$165,Ökobaudat!$U$1,0)</f>
        <v>kg</v>
      </c>
      <c r="M80" s="93"/>
      <c r="N80" s="139" t="str">
        <f t="shared" si="20"/>
        <v/>
      </c>
      <c r="O80" s="135" t="str">
        <f>IF(ISNUMBER(VLOOKUP(J80,Ökobaudat!$D$5:$CK$165,Ökobaudat!$AA$1,0)),VLOOKUP(J80,Ökobaudat!$D$5:$CK$165,Ökobaudat!$AA$1,0),"")</f>
        <v/>
      </c>
      <c r="P80" s="93"/>
      <c r="Q80" s="135" t="str">
        <f>IF(ISNUMBER(VLOOKUP(J80,Ökobaudat!$D$5:$CK$160,Ökobaudat!$Z$1,0)),VLOOKUP(J80,Ökobaudat!$D$5:$CK$160,Ökobaudat!$Z$1,0),"")</f>
        <v/>
      </c>
      <c r="R80" s="138">
        <v>1150</v>
      </c>
      <c r="S80" s="140">
        <f t="shared" si="17"/>
        <v>1150</v>
      </c>
      <c r="T80" s="124">
        <f t="shared" si="13"/>
        <v>1</v>
      </c>
      <c r="U80" s="124">
        <f>IF(Balance!$H$12=Data!$B$4,W80,V80)</f>
        <v>11.196681404022701</v>
      </c>
      <c r="V80" s="124">
        <f t="shared" si="23"/>
        <v>11.196681404022701</v>
      </c>
      <c r="W80" s="124">
        <f t="shared" si="24"/>
        <v>13.280014737356035</v>
      </c>
      <c r="X80" s="124">
        <f t="shared" si="25"/>
        <v>1.84491256805284</v>
      </c>
      <c r="Y80" s="136">
        <f>VLOOKUP(J80,Ökobaudat!$D$5:$CK$165,Ökobaudat!$AM$1,0)/$Y$7</f>
        <v>1.8273879063707583</v>
      </c>
      <c r="Z80" s="136">
        <f>VLOOKUP(J80,Ökobaudat!$D$5:$CK$165,Ökobaudat!$AN$1,0)/$Y$7</f>
        <v>0</v>
      </c>
      <c r="AA80" s="136">
        <f>VLOOKUP(J80,Ökobaudat!$D$5:$CK$165,Ökobaudat!$AP$1,0)/$Y$7</f>
        <v>9.3692934976519435</v>
      </c>
      <c r="AB80" s="136">
        <f>VLOOKUP(J80,Ökobaudat!$D$5:$CK$165,Ökobaudat!$AQ$1,0)/$Y$7</f>
        <v>2.0833333333333335</v>
      </c>
      <c r="AC80" s="136" t="str">
        <f>IF(ISNUMBER(VLOOKUP(J80,Ökobaudat!$D$5:$CK$165,Ökobaudat!$AF$1,0)),VLOOKUP(J80,Ökobaudat!$D$5:$CK$165,Ökobaudat!$AF$1,0),"")</f>
        <v/>
      </c>
      <c r="AD80" s="136">
        <f>IF(ISNUMBER(VLOOKUP(J80,Ökobaudat!$D$5:$CK$165,Ökobaudat!$BF$1,0)),VLOOKUP(J80,Ökobaudat!$D$5:$CK$165,Ökobaudat!$BF$1,0),"")</f>
        <v>1.84491256805284</v>
      </c>
      <c r="AE80" s="136" t="str">
        <f>IF(ISTEXT(VLOOKUP(J80,Ökobaudat!$D$5:$CK$165,Ökobaudat!$BX$1,0)),VLOOKUP(J80,Ökobaudat!$D$5:$CK$165,Ökobaudat!$BX$1,0),"")</f>
        <v/>
      </c>
    </row>
    <row r="81" spans="2:31" ht="13.5" x14ac:dyDescent="0.2">
      <c r="B81" s="346">
        <f t="shared" si="16"/>
        <v>308</v>
      </c>
      <c r="C81" s="145" t="str">
        <f t="shared" si="18"/>
        <v>308-;  kg/m³;  W/(mK);  years</v>
      </c>
      <c r="D81" s="348" t="str">
        <f t="shared" si="21"/>
        <v>308</v>
      </c>
      <c r="E81" s="93"/>
      <c r="F81" s="142" t="e">
        <f t="shared" si="19"/>
        <v>#N/A</v>
      </c>
      <c r="G81" s="142" t="e">
        <f t="shared" si="22"/>
        <v>#N/A</v>
      </c>
      <c r="H81" s="94"/>
      <c r="I81" s="133"/>
      <c r="J81" s="133"/>
      <c r="K81" s="137" t="e">
        <f>VLOOKUP(J81,Ökobaudat!$D$5:$CK$165,Ökobaudat!$T$1,0)</f>
        <v>#N/A</v>
      </c>
      <c r="L81" s="136" t="e">
        <f>VLOOKUP(J81,Ökobaudat!$D$5:$CK$165,Ökobaudat!$U$1,0)</f>
        <v>#N/A</v>
      </c>
      <c r="M81" s="93"/>
      <c r="N81" s="139" t="str">
        <f t="shared" si="20"/>
        <v/>
      </c>
      <c r="O81" s="135" t="str">
        <f>IF(ISNUMBER(VLOOKUP(J81,Ökobaudat!$D$5:$CK$165,Ökobaudat!$AA$1,0)),VLOOKUP(J81,Ökobaudat!$D$5:$CK$165,Ökobaudat!$AA$1,0),"")</f>
        <v/>
      </c>
      <c r="P81" s="93"/>
      <c r="Q81" s="135" t="str">
        <f>IF(ISNUMBER(VLOOKUP(J81,Ökobaudat!$D$5:$CK$160,Ökobaudat!$Z$1,0)),VLOOKUP(J81,Ökobaudat!$D$5:$CK$160,Ökobaudat!$Z$1,0),"")</f>
        <v/>
      </c>
      <c r="R81" s="138"/>
      <c r="S81" s="140" t="str">
        <f t="shared" si="17"/>
        <v/>
      </c>
      <c r="T81" s="124">
        <f t="shared" si="13"/>
        <v>1</v>
      </c>
      <c r="U81" s="124" t="e">
        <f>IF(Balance!$H$12=Data!$B$4,W81,V81)</f>
        <v>#N/A</v>
      </c>
      <c r="V81" s="124" t="e">
        <f t="shared" si="23"/>
        <v>#N/A</v>
      </c>
      <c r="W81" s="124" t="e">
        <f t="shared" si="24"/>
        <v>#N/A</v>
      </c>
      <c r="X81" s="124">
        <f t="shared" si="25"/>
        <v>0</v>
      </c>
      <c r="Y81" s="136" t="e">
        <f>VLOOKUP(J81,Ökobaudat!$D$5:$CK$165,Ökobaudat!$AM$1,0)/$Y$7</f>
        <v>#N/A</v>
      </c>
      <c r="Z81" s="136" t="e">
        <f>VLOOKUP(J81,Ökobaudat!$D$5:$CK$165,Ökobaudat!$AN$1,0)/$Y$7</f>
        <v>#N/A</v>
      </c>
      <c r="AA81" s="136" t="e">
        <f>VLOOKUP(J81,Ökobaudat!$D$5:$CK$165,Ökobaudat!$AP$1,0)/$Y$7</f>
        <v>#N/A</v>
      </c>
      <c r="AB81" s="136" t="e">
        <f>VLOOKUP(J81,Ökobaudat!$D$5:$CK$165,Ökobaudat!$AQ$1,0)/$Y$7</f>
        <v>#N/A</v>
      </c>
      <c r="AC81" s="136" t="str">
        <f>IF(ISNUMBER(VLOOKUP(J81,Ökobaudat!$D$5:$CK$165,Ökobaudat!$AF$1,0)),VLOOKUP(J81,Ökobaudat!$D$5:$CK$165,Ökobaudat!$AF$1,0),"")</f>
        <v/>
      </c>
      <c r="AD81" s="136" t="str">
        <f>IF(ISNUMBER(VLOOKUP(J81,Ökobaudat!$D$5:$CK$165,Ökobaudat!$BF$1,0)),VLOOKUP(J81,Ökobaudat!$D$5:$CK$165,Ökobaudat!$BF$1,0),"")</f>
        <v/>
      </c>
      <c r="AE81" s="136" t="str">
        <f>IF(ISTEXT(VLOOKUP(J81,Ökobaudat!$D$5:$CK$165,Ökobaudat!$BX$1,0)),VLOOKUP(J81,Ökobaudat!$D$5:$CK$165,Ökobaudat!$BX$1,0),"")</f>
        <v/>
      </c>
    </row>
    <row r="82" spans="2:31" ht="13.5" x14ac:dyDescent="0.2">
      <c r="B82" s="346">
        <f t="shared" si="16"/>
        <v>309</v>
      </c>
      <c r="C82" s="145" t="str">
        <f t="shared" si="18"/>
        <v>309-Aluminium profile coated; 2700 kg/m³;  W/(mK); 40 years</v>
      </c>
      <c r="D82" s="348" t="str">
        <f t="shared" si="21"/>
        <v>309</v>
      </c>
      <c r="E82" s="93"/>
      <c r="F82" s="142">
        <f t="shared" si="19"/>
        <v>116264.03039558257</v>
      </c>
      <c r="G82" s="142">
        <f t="shared" si="22"/>
        <v>23190.300000000003</v>
      </c>
      <c r="H82" s="94">
        <v>40</v>
      </c>
      <c r="I82" s="133"/>
      <c r="J82" s="133" t="s">
        <v>987</v>
      </c>
      <c r="K82" s="137">
        <f>VLOOKUP(J82,Ökobaudat!$D$5:$CK$165,Ökobaudat!$T$1,0)</f>
        <v>1</v>
      </c>
      <c r="L82" s="136" t="str">
        <f>VLOOKUP(J82,Ökobaudat!$D$5:$CK$165,Ökobaudat!$U$1,0)</f>
        <v>kg</v>
      </c>
      <c r="M82" s="93"/>
      <c r="N82" s="139" t="str">
        <f t="shared" si="20"/>
        <v/>
      </c>
      <c r="O82" s="135" t="str">
        <f>IF(ISNUMBER(VLOOKUP(J82,Ökobaudat!$D$5:$CK$165,Ökobaudat!$AA$1,0)),VLOOKUP(J82,Ökobaudat!$D$5:$CK$165,Ökobaudat!$AA$1,0),"")</f>
        <v/>
      </c>
      <c r="P82" s="93"/>
      <c r="Q82" s="135">
        <f>IF(ISNUMBER(VLOOKUP(J82,Ökobaudat!$D$5:$CK$160,Ökobaudat!$Z$1,0)),VLOOKUP(J82,Ökobaudat!$D$5:$CK$160,Ökobaudat!$Z$1,0),"")</f>
        <v>2700</v>
      </c>
      <c r="R82" s="138"/>
      <c r="S82" s="140">
        <f t="shared" si="17"/>
        <v>2700</v>
      </c>
      <c r="T82" s="124">
        <f t="shared" si="13"/>
        <v>1</v>
      </c>
      <c r="U82" s="124">
        <f>IF(Balance!$H$12=Data!$B$4,W82,V82)</f>
        <v>43.060751998363912</v>
      </c>
      <c r="V82" s="124">
        <f t="shared" si="23"/>
        <v>43.060751998363912</v>
      </c>
      <c r="W82" s="124">
        <f t="shared" si="24"/>
        <v>43.155555555555495</v>
      </c>
      <c r="X82" s="124">
        <f t="shared" si="25"/>
        <v>8.5890000000000004</v>
      </c>
      <c r="Y82" s="136">
        <f>VLOOKUP(J82,Ökobaudat!$D$5:$CK$165,Ökobaudat!$AM$1,0)/$Y$7</f>
        <v>11.768118881495027</v>
      </c>
      <c r="Z82" s="136">
        <f>VLOOKUP(J82,Ökobaudat!$D$5:$CK$165,Ökobaudat!$AN$1,0)/$Y$7</f>
        <v>8.1881118504975842E-2</v>
      </c>
      <c r="AA82" s="136">
        <f>VLOOKUP(J82,Ökobaudat!$D$5:$CK$165,Ökobaudat!$AP$1,0)/$Y$7</f>
        <v>31.292633116868888</v>
      </c>
      <c r="AB82" s="136">
        <f>VLOOKUP(J82,Ökobaudat!$D$5:$CK$165,Ökobaudat!$AQ$1,0)/$Y$7</f>
        <v>1.2922438686599499E-2</v>
      </c>
      <c r="AC82" s="136">
        <f>IF(ISNUMBER(VLOOKUP(J82,Ökobaudat!$D$5:$CK$165,Ökobaudat!$AF$1,0)),VLOOKUP(J82,Ökobaudat!$D$5:$CK$165,Ökobaudat!$AF$1,0),"")</f>
        <v>8.5890000000000004</v>
      </c>
      <c r="AD82" s="136" t="str">
        <f>IF(ISNUMBER(VLOOKUP(J82,Ökobaudat!$D$5:$CK$165,Ökobaudat!$BF$1,0)),VLOOKUP(J82,Ökobaudat!$D$5:$CK$165,Ökobaudat!$BF$1,0),"")</f>
        <v/>
      </c>
      <c r="AE82" s="136" t="str">
        <f>IF(ISTEXT(VLOOKUP(J82,Ökobaudat!$D$5:$CK$165,Ökobaudat!$BX$1,0)),VLOOKUP(J82,Ökobaudat!$D$5:$CK$165,Ökobaudat!$BX$1,0),"")</f>
        <v/>
      </c>
    </row>
    <row r="83" spans="2:31" ht="13.5" x14ac:dyDescent="0.2">
      <c r="B83" s="346">
        <f t="shared" si="16"/>
        <v>310</v>
      </c>
      <c r="C83" s="145" t="str">
        <f t="shared" si="18"/>
        <v>310-Extruded polystyrene (XPS); 39 kg/m³; 0.035 W/(mK); 40 years</v>
      </c>
      <c r="D83" s="348" t="str">
        <f t="shared" si="21"/>
        <v>310</v>
      </c>
      <c r="E83" s="93">
        <v>3.5000000000000003E-2</v>
      </c>
      <c r="F83" s="142">
        <f t="shared" si="19"/>
        <v>540.05697783972994</v>
      </c>
      <c r="G83" s="142">
        <f t="shared" si="22"/>
        <v>115.88862783720495</v>
      </c>
      <c r="H83" s="94">
        <v>40</v>
      </c>
      <c r="I83" s="133"/>
      <c r="J83" s="133" t="s">
        <v>787</v>
      </c>
      <c r="K83" s="137">
        <f>VLOOKUP(J83,Ökobaudat!$D$5:$CK$165,Ökobaudat!$T$1,0)</f>
        <v>1</v>
      </c>
      <c r="L83" s="136" t="str">
        <f>VLOOKUP(J83,Ökobaudat!$D$5:$CK$165,Ökobaudat!$U$1,0)</f>
        <v>m3</v>
      </c>
      <c r="M83" s="93"/>
      <c r="N83" s="139" t="str">
        <f t="shared" si="20"/>
        <v/>
      </c>
      <c r="O83" s="135" t="str">
        <f>IF(ISNUMBER(VLOOKUP(J83,Ökobaudat!$D$5:$CK$165,Ökobaudat!$AA$1,0)),VLOOKUP(J83,Ökobaudat!$D$5:$CK$165,Ökobaudat!$AA$1,0),"")</f>
        <v/>
      </c>
      <c r="P83" s="93"/>
      <c r="Q83" s="135">
        <f>IF(ISNUMBER(VLOOKUP(J83,Ökobaudat!$D$5:$CK$160,Ökobaudat!$Z$1,0)),VLOOKUP(J83,Ökobaudat!$D$5:$CK$160,Ökobaudat!$Z$1,0),"")</f>
        <v>32</v>
      </c>
      <c r="R83" s="138">
        <v>39</v>
      </c>
      <c r="S83" s="140">
        <f t="shared" si="17"/>
        <v>39</v>
      </c>
      <c r="T83" s="124">
        <f t="shared" si="13"/>
        <v>1.21875</v>
      </c>
      <c r="U83" s="124">
        <f>IF(Balance!$H$12=Data!$B$4,W83,V83)</f>
        <v>540.05697783972994</v>
      </c>
      <c r="V83" s="124">
        <f t="shared" si="23"/>
        <v>540.05697783972994</v>
      </c>
      <c r="W83" s="124">
        <f t="shared" si="24"/>
        <v>980.16114450639657</v>
      </c>
      <c r="X83" s="124">
        <f t="shared" si="25"/>
        <v>115.88862783720495</v>
      </c>
      <c r="Y83" s="136">
        <f>VLOOKUP(J83,Ökobaudat!$D$5:$CK$165,Ökobaudat!$AM$1,0)/$Y$7</f>
        <v>57.674011292984439</v>
      </c>
      <c r="Z83" s="136">
        <f>VLOOKUP(J83,Ökobaudat!$D$5:$CK$165,Ökobaudat!$AN$1,0)/$Y$7</f>
        <v>0</v>
      </c>
      <c r="AA83" s="136">
        <f>VLOOKUP(J83,Ökobaudat!$D$5:$CK$165,Ökobaudat!$AP$1,0)/$Y$7</f>
        <v>385.44966283192218</v>
      </c>
      <c r="AB83" s="136">
        <f>VLOOKUP(J83,Ökobaudat!$D$5:$CK$165,Ökobaudat!$AQ$1,0)/$Y$7</f>
        <v>361.11111111111109</v>
      </c>
      <c r="AC83" s="136" t="str">
        <f>IF(ISNUMBER(VLOOKUP(J83,Ökobaudat!$D$5:$CK$165,Ökobaudat!$AF$1,0)),VLOOKUP(J83,Ökobaudat!$D$5:$CK$165,Ökobaudat!$AF$1,0),"")</f>
        <v/>
      </c>
      <c r="AD83" s="136">
        <f>IF(ISNUMBER(VLOOKUP(J83,Ökobaudat!$D$5:$CK$165,Ökobaudat!$BF$1,0)),VLOOKUP(J83,Ökobaudat!$D$5:$CK$165,Ökobaudat!$BF$1,0),"")</f>
        <v>95.088104892065601</v>
      </c>
      <c r="AE83" s="136" t="str">
        <f>IF(ISTEXT(VLOOKUP(J83,Ökobaudat!$D$5:$CK$165,Ökobaudat!$BX$1,0)),VLOOKUP(J83,Ökobaudat!$D$5:$CK$165,Ökobaudat!$BX$1,0),"")</f>
        <v/>
      </c>
    </row>
    <row r="84" spans="2:31" ht="13.5" x14ac:dyDescent="0.2">
      <c r="B84" s="346">
        <f t="shared" si="16"/>
        <v>311</v>
      </c>
      <c r="C84" s="145" t="str">
        <f t="shared" si="18"/>
        <v>311-Cable duct PVC, rigid; 1400 kg/m³;  W/(mK); 40 years</v>
      </c>
      <c r="D84" s="348" t="str">
        <f t="shared" si="21"/>
        <v>311</v>
      </c>
      <c r="E84" s="93"/>
      <c r="F84" s="142">
        <f t="shared" si="19"/>
        <v>13353.028746110036</v>
      </c>
      <c r="G84" s="142">
        <f t="shared" si="22"/>
        <v>2813.1375307763001</v>
      </c>
      <c r="H84" s="94">
        <v>40</v>
      </c>
      <c r="I84" s="133"/>
      <c r="J84" s="133" t="s">
        <v>805</v>
      </c>
      <c r="K84" s="137">
        <f>VLOOKUP(J84,Ökobaudat!$D$5:$CK$165,Ökobaudat!$T$1,0)</f>
        <v>1</v>
      </c>
      <c r="L84" s="136" t="str">
        <f>VLOOKUP(J84,Ökobaudat!$D$5:$CK$165,Ökobaudat!$U$1,0)</f>
        <v>kg</v>
      </c>
      <c r="M84" s="93"/>
      <c r="N84" s="139" t="str">
        <f t="shared" si="20"/>
        <v/>
      </c>
      <c r="O84" s="135" t="str">
        <f>IF(ISNUMBER(VLOOKUP(J84,Ökobaudat!$D$5:$CK$165,Ökobaudat!$AA$1,0)),VLOOKUP(J84,Ökobaudat!$D$5:$CK$165,Ökobaudat!$AA$1,0),"")</f>
        <v/>
      </c>
      <c r="P84" s="93"/>
      <c r="Q84" s="135" t="str">
        <f>IF(ISNUMBER(VLOOKUP(J84,Ökobaudat!$D$5:$CK$160,Ökobaudat!$Z$1,0)),VLOOKUP(J84,Ökobaudat!$D$5:$CK$160,Ökobaudat!$Z$1,0),"")</f>
        <v/>
      </c>
      <c r="R84" s="138">
        <v>1400</v>
      </c>
      <c r="S84" s="140">
        <f t="shared" si="17"/>
        <v>1400</v>
      </c>
      <c r="T84" s="124">
        <f t="shared" si="13"/>
        <v>1</v>
      </c>
      <c r="U84" s="124">
        <f>IF(Balance!$H$12=Data!$B$4,W84,V84)</f>
        <v>9.5378776757928829</v>
      </c>
      <c r="V84" s="124">
        <f t="shared" si="23"/>
        <v>9.5378776757928829</v>
      </c>
      <c r="W84" s="124">
        <f t="shared" si="24"/>
        <v>15.648988786903994</v>
      </c>
      <c r="X84" s="124">
        <f t="shared" si="25"/>
        <v>2.0093839505545001</v>
      </c>
      <c r="Y84" s="136">
        <f>VLOOKUP(J84,Ökobaudat!$D$5:$CK$165,Ökobaudat!$AM$1,0)/$Y$7</f>
        <v>1.5935919849940778</v>
      </c>
      <c r="Z84" s="136">
        <f>VLOOKUP(J84,Ökobaudat!$D$5:$CK$165,Ökobaudat!$AN$1,0)/$Y$7</f>
        <v>0</v>
      </c>
      <c r="AA84" s="136">
        <f>VLOOKUP(J84,Ökobaudat!$D$5:$CK$165,Ökobaudat!$AP$1,0)/$Y$7</f>
        <v>7.9442856907988046</v>
      </c>
      <c r="AB84" s="136">
        <f>VLOOKUP(J84,Ökobaudat!$D$5:$CK$165,Ökobaudat!$AQ$1,0)/$Y$7</f>
        <v>6.1111111111111107</v>
      </c>
      <c r="AC84" s="136">
        <f>IF(ISNUMBER(VLOOKUP(J84,Ökobaudat!$D$5:$CK$165,Ökobaudat!$AF$1,0)),VLOOKUP(J84,Ökobaudat!$D$5:$CK$165,Ökobaudat!$AF$1,0),"")</f>
        <v>2.0093839505545001</v>
      </c>
      <c r="AD84" s="136" t="str">
        <f>IF(ISNUMBER(VLOOKUP(J84,Ökobaudat!$D$5:$CK$165,Ökobaudat!$BF$1,0)),VLOOKUP(J84,Ökobaudat!$D$5:$CK$165,Ökobaudat!$BF$1,0),"")</f>
        <v/>
      </c>
      <c r="AE84" s="136" t="str">
        <f>IF(ISTEXT(VLOOKUP(J84,Ökobaudat!$D$5:$CK$165,Ökobaudat!$BX$1,0)),VLOOKUP(J84,Ökobaudat!$D$5:$CK$165,Ökobaudat!$BX$1,0),"")</f>
        <v/>
      </c>
    </row>
    <row r="85" spans="2:31" ht="13.5" x14ac:dyDescent="0.2">
      <c r="B85" s="346">
        <f t="shared" si="16"/>
        <v>312</v>
      </c>
      <c r="C85" s="145" t="str">
        <f t="shared" si="18"/>
        <v>312-Polyester resin laminated part (GFRP, 30% glass fibres); 1400 kg/m³;  W/(mK); 40 years</v>
      </c>
      <c r="D85" s="348" t="str">
        <f t="shared" si="21"/>
        <v>312</v>
      </c>
      <c r="E85" s="93"/>
      <c r="F85" s="142">
        <f t="shared" si="19"/>
        <v>30073.963710488388</v>
      </c>
      <c r="G85" s="142">
        <f t="shared" si="22"/>
        <v>5398.458661622054</v>
      </c>
      <c r="H85" s="94">
        <v>40</v>
      </c>
      <c r="I85" s="133"/>
      <c r="J85" s="133" t="s">
        <v>813</v>
      </c>
      <c r="K85" s="137">
        <f>VLOOKUP(J85,Ökobaudat!$D$5:$CK$165,Ökobaudat!$T$1,0)</f>
        <v>1</v>
      </c>
      <c r="L85" s="136" t="str">
        <f>VLOOKUP(J85,Ökobaudat!$D$5:$CK$165,Ökobaudat!$U$1,0)</f>
        <v>kg</v>
      </c>
      <c r="M85" s="93"/>
      <c r="N85" s="139" t="str">
        <f t="shared" si="20"/>
        <v/>
      </c>
      <c r="O85" s="135" t="str">
        <f>IF(ISNUMBER(VLOOKUP(J85,Ökobaudat!$D$5:$CK$165,Ökobaudat!$AA$1,0)),VLOOKUP(J85,Ökobaudat!$D$5:$CK$165,Ökobaudat!$AA$1,0),"")</f>
        <v/>
      </c>
      <c r="P85" s="93"/>
      <c r="Q85" s="135">
        <f>IF(ISNUMBER(VLOOKUP(J85,Ökobaudat!$D$5:$CK$160,Ökobaudat!$Z$1,0)),VLOOKUP(J85,Ökobaudat!$D$5:$CK$160,Ökobaudat!$Z$1,0),"")</f>
        <v>1400</v>
      </c>
      <c r="R85" s="138"/>
      <c r="S85" s="140">
        <f t="shared" si="17"/>
        <v>1400</v>
      </c>
      <c r="T85" s="124">
        <f t="shared" si="13"/>
        <v>1</v>
      </c>
      <c r="U85" s="124">
        <f>IF(Balance!$H$12=Data!$B$4,W85,V85)</f>
        <v>21.481402650348848</v>
      </c>
      <c r="V85" s="124">
        <f t="shared" si="23"/>
        <v>21.481402650348848</v>
      </c>
      <c r="W85" s="124">
        <f t="shared" si="24"/>
        <v>24.981402650348848</v>
      </c>
      <c r="X85" s="124">
        <f t="shared" si="25"/>
        <v>3.8560419011586098</v>
      </c>
      <c r="Y85" s="136">
        <f>VLOOKUP(J85,Ökobaudat!$D$5:$CK$165,Ökobaudat!$AM$1,0)/$Y$7</f>
        <v>1.4014300719335138</v>
      </c>
      <c r="Z85" s="136">
        <f>VLOOKUP(J85,Ökobaudat!$D$5:$CK$165,Ökobaudat!$AN$1,0)/$Y$7</f>
        <v>0</v>
      </c>
      <c r="AA85" s="136">
        <f>VLOOKUP(J85,Ökobaudat!$D$5:$CK$165,Ökobaudat!$AP$1,0)/$Y$7</f>
        <v>20.079972578415333</v>
      </c>
      <c r="AB85" s="136">
        <f>VLOOKUP(J85,Ökobaudat!$D$5:$CK$165,Ökobaudat!$AQ$1,0)/$Y$7</f>
        <v>3.5</v>
      </c>
      <c r="AC85" s="136" t="str">
        <f>IF(ISNUMBER(VLOOKUP(J85,Ökobaudat!$D$5:$CK$165,Ökobaudat!$AF$1,0)),VLOOKUP(J85,Ökobaudat!$D$5:$CK$165,Ökobaudat!$AF$1,0),"")</f>
        <v/>
      </c>
      <c r="AD85" s="136">
        <f>IF(ISNUMBER(VLOOKUP(J85,Ökobaudat!$D$5:$CK$165,Ökobaudat!$BF$1,0)),VLOOKUP(J85,Ökobaudat!$D$5:$CK$165,Ökobaudat!$BF$1,0),"")</f>
        <v>3.8560419011586098</v>
      </c>
      <c r="AE85" s="136" t="str">
        <f>IF(ISTEXT(VLOOKUP(J85,Ökobaudat!$D$5:$CK$165,Ökobaudat!$BX$1,0)),VLOOKUP(J85,Ökobaudat!$D$5:$CK$165,Ökobaudat!$BX$1,0),"")</f>
        <v/>
      </c>
    </row>
    <row r="86" spans="2:31" ht="13.5" x14ac:dyDescent="0.2">
      <c r="B86" s="346">
        <f t="shared" si="16"/>
        <v>313</v>
      </c>
      <c r="C86" s="145" t="str">
        <f t="shared" si="18"/>
        <v>313-Soft Vinyl</v>
      </c>
      <c r="D86" s="348" t="str">
        <f t="shared" si="21"/>
        <v>313</v>
      </c>
      <c r="E86" s="93"/>
      <c r="F86" s="142">
        <f t="shared" si="19"/>
        <v>11445.45321095146</v>
      </c>
      <c r="G86" s="142">
        <f t="shared" si="22"/>
        <v>2411.2607406654001</v>
      </c>
      <c r="H86" s="94">
        <v>20</v>
      </c>
      <c r="I86" s="133" t="s">
        <v>825</v>
      </c>
      <c r="J86" s="133" t="s">
        <v>805</v>
      </c>
      <c r="K86" s="137">
        <f>VLOOKUP(J86,Ökobaudat!$D$5:$CK$165,Ökobaudat!$T$1,0)</f>
        <v>1</v>
      </c>
      <c r="L86" s="136" t="str">
        <f>VLOOKUP(J86,Ökobaudat!$D$5:$CK$165,Ökobaudat!$U$1,0)</f>
        <v>kg</v>
      </c>
      <c r="M86" s="93"/>
      <c r="N86" s="139" t="str">
        <f t="shared" si="20"/>
        <v/>
      </c>
      <c r="O86" s="135" t="str">
        <f>IF(ISNUMBER(VLOOKUP(J86,Ökobaudat!$D$5:$CK$165,Ökobaudat!$AA$1,0)),VLOOKUP(J86,Ökobaudat!$D$5:$CK$165,Ökobaudat!$AA$1,0),"")</f>
        <v/>
      </c>
      <c r="P86" s="93"/>
      <c r="Q86" s="135" t="str">
        <f>IF(ISNUMBER(VLOOKUP(J86,Ökobaudat!$D$5:$CK$160,Ökobaudat!$Z$1,0)),VLOOKUP(J86,Ökobaudat!$D$5:$CK$160,Ökobaudat!$Z$1,0),"")</f>
        <v/>
      </c>
      <c r="R86" s="138">
        <v>1200</v>
      </c>
      <c r="S86" s="140">
        <f t="shared" si="17"/>
        <v>1200</v>
      </c>
      <c r="T86" s="124">
        <f t="shared" si="13"/>
        <v>1</v>
      </c>
      <c r="U86" s="124">
        <f>IF(Balance!$H$12=Data!$B$4,W86,V86)</f>
        <v>9.5378776757928829</v>
      </c>
      <c r="V86" s="124">
        <f t="shared" si="23"/>
        <v>9.5378776757928829</v>
      </c>
      <c r="W86" s="124">
        <f t="shared" si="24"/>
        <v>15.648988786903994</v>
      </c>
      <c r="X86" s="124">
        <f t="shared" si="25"/>
        <v>2.0093839505545001</v>
      </c>
      <c r="Y86" s="136">
        <f>VLOOKUP(J86,Ökobaudat!$D$5:$CK$165,Ökobaudat!$AM$1,0)/$Y$7</f>
        <v>1.5935919849940778</v>
      </c>
      <c r="Z86" s="136">
        <f>VLOOKUP(J86,Ökobaudat!$D$5:$CK$165,Ökobaudat!$AN$1,0)/$Y$7</f>
        <v>0</v>
      </c>
      <c r="AA86" s="136">
        <f>VLOOKUP(J86,Ökobaudat!$D$5:$CK$165,Ökobaudat!$AP$1,0)/$Y$7</f>
        <v>7.9442856907988046</v>
      </c>
      <c r="AB86" s="136">
        <f>VLOOKUP(J86,Ökobaudat!$D$5:$CK$165,Ökobaudat!$AQ$1,0)/$Y$7</f>
        <v>6.1111111111111107</v>
      </c>
      <c r="AC86" s="136">
        <f>IF(ISNUMBER(VLOOKUP(J86,Ökobaudat!$D$5:$CK$165,Ökobaudat!$AF$1,0)),VLOOKUP(J86,Ökobaudat!$D$5:$CK$165,Ökobaudat!$AF$1,0),"")</f>
        <v>2.0093839505545001</v>
      </c>
      <c r="AD86" s="136" t="str">
        <f>IF(ISNUMBER(VLOOKUP(J86,Ökobaudat!$D$5:$CK$165,Ökobaudat!$BF$1,0)),VLOOKUP(J86,Ökobaudat!$D$5:$CK$165,Ökobaudat!$BF$1,0),"")</f>
        <v/>
      </c>
      <c r="AE86" s="136" t="str">
        <f>IF(ISTEXT(VLOOKUP(J86,Ökobaudat!$D$5:$CK$165,Ökobaudat!$BX$1,0)),VLOOKUP(J86,Ökobaudat!$D$5:$CK$165,Ökobaudat!$BX$1,0),"")</f>
        <v/>
      </c>
    </row>
    <row r="87" spans="2:31" ht="13.5" x14ac:dyDescent="0.2">
      <c r="B87" s="346">
        <f t="shared" si="16"/>
        <v>314</v>
      </c>
      <c r="C87" s="145" t="str">
        <f t="shared" si="18"/>
        <v>314-PIR high-density foam; 400 kg/m³;  W/(mK); 40 years</v>
      </c>
      <c r="D87" s="348" t="str">
        <f t="shared" si="21"/>
        <v>314</v>
      </c>
      <c r="E87" s="93"/>
      <c r="F87" s="142">
        <f t="shared" si="19"/>
        <v>647.25297961925958</v>
      </c>
      <c r="G87" s="142">
        <f t="shared" si="22"/>
        <v>153.00099181306416</v>
      </c>
      <c r="H87" s="94">
        <v>40</v>
      </c>
      <c r="I87" s="133"/>
      <c r="J87" s="133" t="s">
        <v>741</v>
      </c>
      <c r="K87" s="137">
        <f>VLOOKUP(J87,Ökobaudat!$D$5:$CK$165,Ökobaudat!$T$1,0)</f>
        <v>1</v>
      </c>
      <c r="L87" s="136" t="str">
        <f>VLOOKUP(J87,Ökobaudat!$D$5:$CK$165,Ökobaudat!$U$1,0)</f>
        <v>m3</v>
      </c>
      <c r="M87" s="93"/>
      <c r="N87" s="139" t="str">
        <f t="shared" si="20"/>
        <v/>
      </c>
      <c r="O87" s="135" t="str">
        <f>IF(ISNUMBER(VLOOKUP(J87,Ökobaudat!$D$5:$CK$165,Ökobaudat!$AA$1,0)),VLOOKUP(J87,Ökobaudat!$D$5:$CK$165,Ökobaudat!$AA$1,0),"")</f>
        <v/>
      </c>
      <c r="P87" s="93"/>
      <c r="Q87" s="135">
        <f>IF(ISNUMBER(VLOOKUP(J87,Ökobaudat!$D$5:$CK$160,Ökobaudat!$Z$1,0)),VLOOKUP(J87,Ökobaudat!$D$5:$CK$160,Ökobaudat!$Z$1,0),"")</f>
        <v>250</v>
      </c>
      <c r="R87" s="138">
        <v>400</v>
      </c>
      <c r="S87" s="140">
        <f t="shared" si="17"/>
        <v>400</v>
      </c>
      <c r="T87" s="124">
        <f t="shared" si="13"/>
        <v>1.6</v>
      </c>
      <c r="U87" s="124">
        <f>IF(Balance!$H$12=Data!$B$4,W87,V87)</f>
        <v>647.25297961925958</v>
      </c>
      <c r="V87" s="124">
        <f t="shared" si="23"/>
        <v>647.25297961925958</v>
      </c>
      <c r="W87" s="124">
        <f t="shared" si="24"/>
        <v>1007.2529796192596</v>
      </c>
      <c r="X87" s="124">
        <f t="shared" si="25"/>
        <v>153.00099181306416</v>
      </c>
      <c r="Y87" s="136">
        <f>VLOOKUP(J87,Ökobaudat!$D$5:$CK$165,Ökobaudat!$AM$1,0)/$Y$7</f>
        <v>49.69766493143166</v>
      </c>
      <c r="Z87" s="136">
        <f>VLOOKUP(J87,Ökobaudat!$D$5:$CK$165,Ökobaudat!$AN$1,0)/$Y$7</f>
        <v>0</v>
      </c>
      <c r="AA87" s="136">
        <f>VLOOKUP(J87,Ökobaudat!$D$5:$CK$165,Ökobaudat!$AP$1,0)/$Y$7</f>
        <v>354.83544733060558</v>
      </c>
      <c r="AB87" s="136">
        <f>VLOOKUP(J87,Ökobaudat!$D$5:$CK$165,Ökobaudat!$AQ$1,0)/$Y$7</f>
        <v>225</v>
      </c>
      <c r="AC87" s="136" t="str">
        <f>IF(ISNUMBER(VLOOKUP(J87,Ökobaudat!$D$5:$CK$165,Ökobaudat!$AF$1,0)),VLOOKUP(J87,Ökobaudat!$D$5:$CK$165,Ökobaudat!$AF$1,0),"")</f>
        <v/>
      </c>
      <c r="AD87" s="136">
        <f>IF(ISNUMBER(VLOOKUP(J87,Ökobaudat!$D$5:$CK$165,Ökobaudat!$BF$1,0)),VLOOKUP(J87,Ökobaudat!$D$5:$CK$165,Ökobaudat!$BF$1,0),"")</f>
        <v>95.625619883165101</v>
      </c>
      <c r="AE87" s="136" t="str">
        <f>IF(ISTEXT(VLOOKUP(J87,Ökobaudat!$D$5:$CK$165,Ökobaudat!$BX$1,0)),VLOOKUP(J87,Ökobaudat!$D$5:$CK$165,Ökobaudat!$BX$1,0),"")</f>
        <v/>
      </c>
    </row>
    <row r="88" spans="2:31" ht="13.5" x14ac:dyDescent="0.2">
      <c r="B88" s="346">
        <f t="shared" si="16"/>
        <v>315</v>
      </c>
      <c r="C88" s="145" t="str">
        <f t="shared" si="18"/>
        <v>315-EPS 100 kg</v>
      </c>
      <c r="D88" s="348" t="str">
        <f t="shared" si="21"/>
        <v>315</v>
      </c>
      <c r="E88" s="93"/>
      <c r="F88" s="142">
        <f t="shared" si="19"/>
        <v>1312.6506024096384</v>
      </c>
      <c r="G88" s="142">
        <f t="shared" si="22"/>
        <v>299.39759036144579</v>
      </c>
      <c r="H88" s="94">
        <v>40</v>
      </c>
      <c r="I88" s="133" t="s">
        <v>831</v>
      </c>
      <c r="J88" s="133" t="s">
        <v>986</v>
      </c>
      <c r="K88" s="137">
        <f>VLOOKUP(J88,Ökobaudat!$D$5:$CK$165,Ökobaudat!$T$1,0)</f>
        <v>1</v>
      </c>
      <c r="L88" s="136" t="str">
        <f>VLOOKUP(J88,Ökobaudat!$D$5:$CK$165,Ökobaudat!$U$1,0)</f>
        <v>m3</v>
      </c>
      <c r="M88" s="93"/>
      <c r="N88" s="139" t="str">
        <f t="shared" si="20"/>
        <v/>
      </c>
      <c r="O88" s="135" t="str">
        <f>IF(ISNUMBER(VLOOKUP(J88,Ökobaudat!$D$5:$CK$165,Ökobaudat!$AA$1,0)),VLOOKUP(J88,Ökobaudat!$D$5:$CK$165,Ökobaudat!$AA$1,0),"")</f>
        <v/>
      </c>
      <c r="P88" s="93"/>
      <c r="Q88" s="135">
        <f>IF(ISNUMBER(VLOOKUP(J88,Ökobaudat!$D$5:$CK$160,Ökobaudat!$Z$1,0)),VLOOKUP(J88,Ökobaudat!$D$5:$CK$160,Ökobaudat!$Z$1,0),"")</f>
        <v>16.600000000000001</v>
      </c>
      <c r="R88" s="138">
        <v>100</v>
      </c>
      <c r="S88" s="140">
        <f t="shared" si="17"/>
        <v>100</v>
      </c>
      <c r="T88" s="124">
        <f t="shared" si="13"/>
        <v>6.0240963855421681</v>
      </c>
      <c r="U88" s="124">
        <f>IF(Balance!$H$12=Data!$B$4,W88,V88)</f>
        <v>1312.6506024096384</v>
      </c>
      <c r="V88" s="124">
        <f t="shared" si="23"/>
        <v>1312.6506024096384</v>
      </c>
      <c r="W88" s="124">
        <f t="shared" si="24"/>
        <v>2412.6506024096384</v>
      </c>
      <c r="X88" s="124">
        <f t="shared" si="25"/>
        <v>299.39759036144579</v>
      </c>
      <c r="Y88" s="136">
        <f>VLOOKUP(J88,Ökobaudat!$D$5:$CK$165,Ökobaudat!$AM$1,0)/$Y$7</f>
        <v>6.0555555555555554</v>
      </c>
      <c r="Z88" s="136">
        <f>VLOOKUP(J88,Ökobaudat!$D$5:$CK$165,Ökobaudat!$AN$1,0)/$Y$7</f>
        <v>0</v>
      </c>
      <c r="AA88" s="136">
        <f>VLOOKUP(J88,Ökobaudat!$D$5:$CK$165,Ökobaudat!$AP$1,0)/$Y$7</f>
        <v>211.84444444444443</v>
      </c>
      <c r="AB88" s="136">
        <f>VLOOKUP(J88,Ökobaudat!$D$5:$CK$165,Ökobaudat!$AQ$1,0)/$Y$7</f>
        <v>182.6</v>
      </c>
      <c r="AC88" s="136">
        <f>IF(ISNUMBER(VLOOKUP(J88,Ökobaudat!$D$5:$CK$165,Ökobaudat!$AF$1,0)),VLOOKUP(J88,Ökobaudat!$D$5:$CK$165,Ökobaudat!$AF$1,0),"")</f>
        <v>49.7</v>
      </c>
      <c r="AD88" s="136" t="str">
        <f>IF(ISNUMBER(VLOOKUP(J88,Ökobaudat!$D$5:$CK$165,Ökobaudat!$BF$1,0)),VLOOKUP(J88,Ökobaudat!$D$5:$CK$165,Ökobaudat!$BF$1,0),"")</f>
        <v/>
      </c>
      <c r="AE88" s="136" t="str">
        <f>IF(ISTEXT(VLOOKUP(J88,Ökobaudat!$D$5:$CK$165,Ökobaudat!$BX$1,0)),VLOOKUP(J88,Ökobaudat!$D$5:$CK$165,Ökobaudat!$BX$1,0),"")</f>
        <v/>
      </c>
    </row>
    <row r="89" spans="2:31" ht="13.5" x14ac:dyDescent="0.2">
      <c r="B89" s="346">
        <f t="shared" si="16"/>
        <v>316</v>
      </c>
      <c r="C89" s="145" t="str">
        <f t="shared" si="18"/>
        <v>316-EPDM-foam</v>
      </c>
      <c r="D89" s="348" t="str">
        <f t="shared" si="21"/>
        <v>316</v>
      </c>
      <c r="E89" s="93"/>
      <c r="F89" s="142">
        <f>IF(L89=$F$6,IF(ISNUMBER(Q89),Q89*U89,U89*S89),IF(L89=$F$4,U89/N89,U89))</f>
        <v>1501.1321860155845</v>
      </c>
      <c r="G89" s="142">
        <f t="shared" si="22"/>
        <v>53.307744606710749</v>
      </c>
      <c r="H89" s="94">
        <v>20</v>
      </c>
      <c r="I89" s="133" t="s">
        <v>837</v>
      </c>
      <c r="J89" s="133" t="s">
        <v>762</v>
      </c>
      <c r="K89" s="137">
        <f>VLOOKUP(J89,Ökobaudat!$D$5:$CK$165,Ökobaudat!$T$1,0)</f>
        <v>1</v>
      </c>
      <c r="L89" s="136" t="str">
        <f>VLOOKUP(J89,Ökobaudat!$D$5:$CK$165,Ökobaudat!$U$1,0)</f>
        <v>kg</v>
      </c>
      <c r="M89" s="93"/>
      <c r="N89" s="139" t="str">
        <f t="shared" si="20"/>
        <v/>
      </c>
      <c r="O89" s="135" t="str">
        <f>IF(ISNUMBER(VLOOKUP(J89,Ökobaudat!$D$5:$CK$165,Ökobaudat!$AA$1,0)),VLOOKUP(J89,Ökobaudat!$D$5:$CK$165,Ökobaudat!$AA$1,0),"")</f>
        <v/>
      </c>
      <c r="P89" s="93"/>
      <c r="Q89" s="135">
        <f>IF(ISNUMBER(VLOOKUP(J89,Ökobaudat!$D$5:$CK$160,Ökobaudat!$Z$1,0)),VLOOKUP(J89,Ökobaudat!$D$5:$CK$160,Ökobaudat!$Z$1,0),"")</f>
        <v>400</v>
      </c>
      <c r="R89" s="138">
        <v>70</v>
      </c>
      <c r="S89" s="140">
        <f t="shared" si="17"/>
        <v>70</v>
      </c>
      <c r="T89" s="124">
        <f t="shared" si="13"/>
        <v>0.17499999999999999</v>
      </c>
      <c r="U89" s="124">
        <f>IF(Balance!$H$12=Data!$B$4,W89,V89)</f>
        <v>3.7528304650389614</v>
      </c>
      <c r="V89" s="124">
        <f t="shared" si="23"/>
        <v>3.7528304650389614</v>
      </c>
      <c r="W89" s="124">
        <f t="shared" si="24"/>
        <v>5.8431082428167391</v>
      </c>
      <c r="X89" s="124">
        <f t="shared" si="25"/>
        <v>0.76153920866729641</v>
      </c>
      <c r="Y89" s="136">
        <f>VLOOKUP(J89,Ökobaudat!$D$5:$CK$165,Ökobaudat!$AM$1,0)/$Y$7</f>
        <v>2.2666559190549913</v>
      </c>
      <c r="Z89" s="136">
        <f>VLOOKUP(J89,Ökobaudat!$D$5:$CK$165,Ökobaudat!$AN$1,0)/$Y$7</f>
        <v>0</v>
      </c>
      <c r="AA89" s="136">
        <f>VLOOKUP(J89,Ökobaudat!$D$5:$CK$165,Ökobaudat!$AP$1,0)/$Y$7</f>
        <v>19.178089595453361</v>
      </c>
      <c r="AB89" s="136">
        <f>VLOOKUP(J89,Ökobaudat!$D$5:$CK$165,Ökobaudat!$AQ$1,0)/$Y$7</f>
        <v>11.944444444444445</v>
      </c>
      <c r="AC89" s="136" t="str">
        <f>IF(ISNUMBER(VLOOKUP(J89,Ökobaudat!$D$5:$CK$165,Ökobaudat!$AF$1,0)),VLOOKUP(J89,Ökobaudat!$D$5:$CK$165,Ökobaudat!$AF$1,0),"")</f>
        <v/>
      </c>
      <c r="AD89" s="136">
        <f>IF(ISNUMBER(VLOOKUP(J89,Ökobaudat!$D$5:$CK$165,Ökobaudat!$BF$1,0)),VLOOKUP(J89,Ökobaudat!$D$5:$CK$165,Ökobaudat!$BF$1,0),"")</f>
        <v>4.3516526209559796</v>
      </c>
      <c r="AE89" s="136" t="str">
        <f>IF(ISTEXT(VLOOKUP(J89,Ökobaudat!$D$5:$CK$165,Ökobaudat!$BX$1,0)),VLOOKUP(J89,Ökobaudat!$D$5:$CK$165,Ökobaudat!$BX$1,0),"")</f>
        <v/>
      </c>
    </row>
    <row r="90" spans="2:31" ht="13.5" x14ac:dyDescent="0.2">
      <c r="B90" s="346">
        <f t="shared" si="16"/>
        <v>317</v>
      </c>
      <c r="C90" s="145" t="str">
        <f t="shared" si="18"/>
        <v>317-Window sash (spruce);  kg/m³;  W/(mK); 40 years</v>
      </c>
      <c r="D90" s="348" t="str">
        <f t="shared" si="21"/>
        <v>317</v>
      </c>
      <c r="E90" s="93"/>
      <c r="F90" s="142">
        <f t="shared" ref="F90:F110" si="26">IF(L90=$F$6,IF(ISNUMBER(Q90),Q90*U90,U90*S90),IF(L90=$F$4,U90/N90,U90))</f>
        <v>29.910715553911331</v>
      </c>
      <c r="G90" s="142">
        <f t="shared" si="22"/>
        <v>0.31773084476390401</v>
      </c>
      <c r="H90" s="94">
        <v>40</v>
      </c>
      <c r="I90" s="133"/>
      <c r="J90" s="133" t="s">
        <v>841</v>
      </c>
      <c r="K90" s="137">
        <f>VLOOKUP(J90,Ökobaudat!$D$5:$CK$165,Ökobaudat!$T$1,0)</f>
        <v>0.99999999999999301</v>
      </c>
      <c r="L90" s="136" t="str">
        <f>VLOOKUP(J90,Ökobaudat!$D$5:$CK$165,Ökobaudat!$U$1,0)</f>
        <v>m</v>
      </c>
      <c r="M90" s="93"/>
      <c r="N90" s="139" t="str">
        <f t="shared" si="20"/>
        <v/>
      </c>
      <c r="O90" s="135" t="str">
        <f>IF(ISNUMBER(VLOOKUP(J90,Ökobaudat!$D$5:$CK$165,Ökobaudat!$AA$1,0)),VLOOKUP(J90,Ökobaudat!$D$5:$CK$165,Ökobaudat!$AA$1,0),"")</f>
        <v/>
      </c>
      <c r="P90" s="93"/>
      <c r="Q90" s="135" t="str">
        <f>IF(ISNUMBER(VLOOKUP(J90,Ökobaudat!$D$5:$CK$160,Ökobaudat!$Z$1,0)),VLOOKUP(J90,Ökobaudat!$D$5:$CK$160,Ökobaudat!$Z$1,0),"")</f>
        <v/>
      </c>
      <c r="R90" s="138"/>
      <c r="S90" s="140" t="str">
        <f t="shared" si="17"/>
        <v/>
      </c>
      <c r="T90" s="124">
        <f t="shared" si="13"/>
        <v>1</v>
      </c>
      <c r="U90" s="124">
        <f>IF(Balance!$H$12=Data!$B$4,W90,V90)</f>
        <v>29.910715553911331</v>
      </c>
      <c r="V90" s="124">
        <f t="shared" si="23"/>
        <v>29.910715553911331</v>
      </c>
      <c r="W90" s="124">
        <f t="shared" si="24"/>
        <v>40.466271109466888</v>
      </c>
      <c r="X90" s="124">
        <f t="shared" si="25"/>
        <v>0.31773084476390401</v>
      </c>
      <c r="Y90" s="136">
        <f>VLOOKUP(J90,Ökobaudat!$D$5:$CK$165,Ökobaudat!$AM$1,0)/$Y$7</f>
        <v>13.905797569536304</v>
      </c>
      <c r="Z90" s="136">
        <f>VLOOKUP(J90,Ökobaudat!$D$5:$CK$165,Ökobaudat!$AN$1,0)/$Y$7</f>
        <v>10.555555555555555</v>
      </c>
      <c r="AA90" s="136">
        <f>VLOOKUP(J90,Ökobaudat!$D$5:$CK$165,Ökobaudat!$AP$1,0)/$Y$7</f>
        <v>16.004917984375027</v>
      </c>
      <c r="AB90" s="136">
        <f>VLOOKUP(J90,Ökobaudat!$D$5:$CK$165,Ökobaudat!$AQ$1,0)/$Y$7</f>
        <v>0</v>
      </c>
      <c r="AC90" s="136" t="str">
        <f>IF(ISNUMBER(VLOOKUP(J90,Ökobaudat!$D$5:$CK$165,Ökobaudat!$AF$1,0)),VLOOKUP(J90,Ökobaudat!$D$5:$CK$165,Ökobaudat!$AF$1,0),"")</f>
        <v/>
      </c>
      <c r="AD90" s="136">
        <f>IF(ISNUMBER(VLOOKUP(J90,Ökobaudat!$D$5:$CK$165,Ökobaudat!$BF$1,0)),VLOOKUP(J90,Ökobaudat!$D$5:$CK$165,Ökobaudat!$BF$1,0),"")</f>
        <v>0.31773084476390401</v>
      </c>
      <c r="AE90" s="136" t="str">
        <f>IF(ISTEXT(VLOOKUP(J90,Ökobaudat!$D$5:$CK$165,Ökobaudat!$BX$1,0)),VLOOKUP(J90,Ökobaudat!$D$5:$CK$165,Ökobaudat!$BX$1,0),"")</f>
        <v>kk 2022-04-19: according to description: IV 68Pine, 290 g paint per m</v>
      </c>
    </row>
    <row r="91" spans="2:31" ht="13.5" x14ac:dyDescent="0.2">
      <c r="B91" s="346">
        <f t="shared" si="16"/>
        <v>318</v>
      </c>
      <c r="C91" s="145" t="str">
        <f t="shared" si="18"/>
        <v>318-Window frame (spruce);  kg/m³;  W/(mK); 40 years</v>
      </c>
      <c r="D91" s="348" t="str">
        <f t="shared" si="21"/>
        <v>318</v>
      </c>
      <c r="E91" s="93"/>
      <c r="F91" s="142">
        <f t="shared" si="26"/>
        <v>28.747738622924917</v>
      </c>
      <c r="G91" s="142">
        <f t="shared" si="22"/>
        <v>7.2539157390630493E-2</v>
      </c>
      <c r="H91" s="94">
        <v>40</v>
      </c>
      <c r="I91" s="133"/>
      <c r="J91" s="133" t="s">
        <v>849</v>
      </c>
      <c r="K91" s="137">
        <f>VLOOKUP(J91,Ökobaudat!$D$5:$CK$165,Ökobaudat!$T$1,0)</f>
        <v>1</v>
      </c>
      <c r="L91" s="136" t="str">
        <f>VLOOKUP(J91,Ökobaudat!$D$5:$CK$165,Ökobaudat!$U$1,0)</f>
        <v>m</v>
      </c>
      <c r="M91" s="93"/>
      <c r="N91" s="139" t="str">
        <f t="shared" si="20"/>
        <v/>
      </c>
      <c r="O91" s="135" t="str">
        <f>IF(ISNUMBER(VLOOKUP(J91,Ökobaudat!$D$5:$CK$165,Ökobaudat!$AA$1,0)),VLOOKUP(J91,Ökobaudat!$D$5:$CK$165,Ökobaudat!$AA$1,0),"")</f>
        <v/>
      </c>
      <c r="P91" s="93"/>
      <c r="Q91" s="135" t="str">
        <f>IF(ISNUMBER(VLOOKUP(J91,Ökobaudat!$D$5:$CK$160,Ökobaudat!$Z$1,0)),VLOOKUP(J91,Ökobaudat!$D$5:$CK$160,Ökobaudat!$Z$1,0),"")</f>
        <v/>
      </c>
      <c r="R91" s="138"/>
      <c r="S91" s="140" t="str">
        <f t="shared" si="17"/>
        <v/>
      </c>
      <c r="T91" s="124">
        <f t="shared" si="13"/>
        <v>1</v>
      </c>
      <c r="U91" s="124">
        <f>IF(Balance!$H$12=Data!$B$4,W91,V91)</f>
        <v>28.747738622924917</v>
      </c>
      <c r="V91" s="124">
        <f t="shared" si="23"/>
        <v>28.747738622924917</v>
      </c>
      <c r="W91" s="124">
        <f t="shared" si="24"/>
        <v>39.303294178480471</v>
      </c>
      <c r="X91" s="124">
        <f t="shared" si="25"/>
        <v>7.2539157390630493E-2</v>
      </c>
      <c r="Y91" s="136">
        <f>VLOOKUP(J91,Ökobaudat!$D$5:$CK$165,Ökobaudat!$AM$1,0)/$Y$7</f>
        <v>13.81006128820075</v>
      </c>
      <c r="Z91" s="136">
        <f>VLOOKUP(J91,Ökobaudat!$D$5:$CK$165,Ökobaudat!$AN$1,0)/$Y$7</f>
        <v>10.555555555555555</v>
      </c>
      <c r="AA91" s="136">
        <f>VLOOKUP(J91,Ökobaudat!$D$5:$CK$165,Ökobaudat!$AP$1,0)/$Y$7</f>
        <v>14.937677334724167</v>
      </c>
      <c r="AB91" s="136">
        <f>VLOOKUP(J91,Ökobaudat!$D$5:$CK$165,Ökobaudat!$AQ$1,0)/$Y$7</f>
        <v>0</v>
      </c>
      <c r="AC91" s="136" t="str">
        <f>IF(ISNUMBER(VLOOKUP(J91,Ökobaudat!$D$5:$CK$165,Ökobaudat!$AF$1,0)),VLOOKUP(J91,Ökobaudat!$D$5:$CK$165,Ökobaudat!$AF$1,0),"")</f>
        <v/>
      </c>
      <c r="AD91" s="136">
        <f>IF(ISNUMBER(VLOOKUP(J91,Ökobaudat!$D$5:$CK$165,Ökobaudat!$BF$1,0)),VLOOKUP(J91,Ökobaudat!$D$5:$CK$165,Ökobaudat!$BF$1,0),"")</f>
        <v>7.2539157390630493E-2</v>
      </c>
      <c r="AE91" s="136" t="str">
        <f>IF(ISTEXT(VLOOKUP(J91,Ökobaudat!$D$5:$CK$165,Ökobaudat!$BX$1,0)),VLOOKUP(J91,Ökobaudat!$D$5:$CK$165,Ökobaudat!$BX$1,0),"")</f>
        <v>kk 2022-04-19: according to description: IV 68Pine, 290 g paint per m</v>
      </c>
    </row>
    <row r="92" spans="2:31" ht="13.5" x14ac:dyDescent="0.2">
      <c r="B92" s="346">
        <f t="shared" si="16"/>
        <v>319</v>
      </c>
      <c r="C92" s="145" t="str">
        <f t="shared" si="18"/>
        <v>319-Window sash PVC-U;  kg/m³;  W/(mK); 40 years</v>
      </c>
      <c r="D92" s="348" t="str">
        <f t="shared" si="21"/>
        <v>319</v>
      </c>
      <c r="E92" s="93"/>
      <c r="F92" s="142">
        <f t="shared" si="26"/>
        <v>41.774398078869332</v>
      </c>
      <c r="G92" s="142">
        <f t="shared" si="22"/>
        <v>9.4424096538281805</v>
      </c>
      <c r="H92" s="94">
        <v>40</v>
      </c>
      <c r="I92" s="133"/>
      <c r="J92" s="133" t="s">
        <v>794</v>
      </c>
      <c r="K92" s="137">
        <f>VLOOKUP(J92,Ökobaudat!$D$5:$CK$165,Ökobaudat!$T$1,0)</f>
        <v>1</v>
      </c>
      <c r="L92" s="136" t="str">
        <f>VLOOKUP(J92,Ökobaudat!$D$5:$CK$165,Ökobaudat!$U$1,0)</f>
        <v>m</v>
      </c>
      <c r="M92" s="93"/>
      <c r="N92" s="139" t="str">
        <f t="shared" si="20"/>
        <v/>
      </c>
      <c r="O92" s="135" t="str">
        <f>IF(ISNUMBER(VLOOKUP(J92,Ökobaudat!$D$5:$CK$165,Ökobaudat!$AA$1,0)),VLOOKUP(J92,Ökobaudat!$D$5:$CK$165,Ökobaudat!$AA$1,0),"")</f>
        <v/>
      </c>
      <c r="P92" s="93"/>
      <c r="Q92" s="135" t="str">
        <f>IF(ISNUMBER(VLOOKUP(J92,Ökobaudat!$D$5:$CK$160,Ökobaudat!$Z$1,0)),VLOOKUP(J92,Ökobaudat!$D$5:$CK$160,Ökobaudat!$Z$1,0),"")</f>
        <v/>
      </c>
      <c r="R92" s="138"/>
      <c r="S92" s="140" t="str">
        <f t="shared" si="17"/>
        <v/>
      </c>
      <c r="T92" s="124">
        <f t="shared" si="13"/>
        <v>1</v>
      </c>
      <c r="U92" s="124">
        <f>IF(Balance!$H$12=Data!$B$4,W92,V92)</f>
        <v>41.774398078869332</v>
      </c>
      <c r="V92" s="124">
        <f t="shared" si="23"/>
        <v>41.774398078869332</v>
      </c>
      <c r="W92" s="124">
        <f t="shared" si="24"/>
        <v>49.774398078869332</v>
      </c>
      <c r="X92" s="124">
        <f t="shared" si="25"/>
        <v>9.4424096538281805</v>
      </c>
      <c r="Y92" s="136">
        <f>VLOOKUP(J92,Ökobaudat!$D$5:$CK$165,Ökobaudat!$AM$1,0)/$Y$7</f>
        <v>5.447995908388223</v>
      </c>
      <c r="Z92" s="136">
        <f>VLOOKUP(J92,Ökobaudat!$D$5:$CK$165,Ökobaudat!$AN$1,0)/$Y$7</f>
        <v>0</v>
      </c>
      <c r="AA92" s="136">
        <f>VLOOKUP(J92,Ökobaudat!$D$5:$CK$165,Ökobaudat!$AP$1,0)/$Y$7</f>
        <v>36.32640217048111</v>
      </c>
      <c r="AB92" s="136">
        <f>VLOOKUP(J92,Ökobaudat!$D$5:$CK$165,Ökobaudat!$AQ$1,0)/$Y$7</f>
        <v>8</v>
      </c>
      <c r="AC92" s="136" t="str">
        <f>IF(ISNUMBER(VLOOKUP(J92,Ökobaudat!$D$5:$CK$165,Ökobaudat!$AF$1,0)),VLOOKUP(J92,Ökobaudat!$D$5:$CK$165,Ökobaudat!$AF$1,0),"")</f>
        <v/>
      </c>
      <c r="AD92" s="136">
        <f>IF(ISNUMBER(VLOOKUP(J92,Ökobaudat!$D$5:$CK$165,Ökobaudat!$BF$1,0)),VLOOKUP(J92,Ökobaudat!$D$5:$CK$165,Ökobaudat!$BF$1,0),"")</f>
        <v>9.4424096538281805</v>
      </c>
      <c r="AE92" s="136" t="str">
        <f>IF(ISTEXT(VLOOKUP(J92,Ökobaudat!$D$5:$CK$165,Ökobaudat!$BX$1,0)),VLOOKUP(J92,Ökobaudat!$D$5:$CK$165,Ökobaudat!$BX$1,0),"")</f>
        <v>kk 2022-04-19: according to description:PVC-profil mit Aussteifung, 3,1 kg/m</v>
      </c>
    </row>
    <row r="93" spans="2:31" ht="13.5" x14ac:dyDescent="0.2">
      <c r="B93" s="346">
        <f t="shared" si="16"/>
        <v>320</v>
      </c>
      <c r="C93" s="145" t="str">
        <f t="shared" si="18"/>
        <v>320-Window frame PVC-U;  kg/m³;  W/(mK); 40 years</v>
      </c>
      <c r="D93" s="348" t="str">
        <f t="shared" si="21"/>
        <v>320</v>
      </c>
      <c r="E93" s="93"/>
      <c r="F93" s="142">
        <f t="shared" si="26"/>
        <v>36.030698711884554</v>
      </c>
      <c r="G93" s="142">
        <f t="shared" si="22"/>
        <v>8.4254129465164294</v>
      </c>
      <c r="H93" s="94">
        <v>40</v>
      </c>
      <c r="I93" s="133"/>
      <c r="J93" s="133" t="s">
        <v>800</v>
      </c>
      <c r="K93" s="137">
        <f>VLOOKUP(J93,Ökobaudat!$D$5:$CK$165,Ökobaudat!$T$1,0)</f>
        <v>1</v>
      </c>
      <c r="L93" s="136" t="str">
        <f>VLOOKUP(J93,Ökobaudat!$D$5:$CK$165,Ökobaudat!$U$1,0)</f>
        <v>m</v>
      </c>
      <c r="M93" s="93"/>
      <c r="N93" s="139" t="str">
        <f t="shared" si="20"/>
        <v/>
      </c>
      <c r="O93" s="135" t="str">
        <f>IF(ISNUMBER(VLOOKUP(J93,Ökobaudat!$D$5:$CK$165,Ökobaudat!$AA$1,0)),VLOOKUP(J93,Ökobaudat!$D$5:$CK$165,Ökobaudat!$AA$1,0),"")</f>
        <v/>
      </c>
      <c r="P93" s="93"/>
      <c r="Q93" s="135" t="str">
        <f>IF(ISNUMBER(VLOOKUP(J93,Ökobaudat!$D$5:$CK$160,Ökobaudat!$Z$1,0)),VLOOKUP(J93,Ökobaudat!$D$5:$CK$160,Ökobaudat!$Z$1,0),"")</f>
        <v/>
      </c>
      <c r="R93" s="138"/>
      <c r="S93" s="140" t="str">
        <f t="shared" si="17"/>
        <v/>
      </c>
      <c r="T93" s="124">
        <f t="shared" si="13"/>
        <v>1</v>
      </c>
      <c r="U93" s="124">
        <f>IF(Balance!$H$12=Data!$B$4,W93,V93)</f>
        <v>36.030698711884554</v>
      </c>
      <c r="V93" s="124">
        <f t="shared" si="23"/>
        <v>36.030698711884554</v>
      </c>
      <c r="W93" s="124">
        <f t="shared" si="24"/>
        <v>42.530698711884554</v>
      </c>
      <c r="X93" s="124">
        <f t="shared" si="25"/>
        <v>8.4254129465164294</v>
      </c>
      <c r="Y93" s="136">
        <f>VLOOKUP(J93,Ökobaudat!$D$5:$CK$165,Ökobaudat!$AM$1,0)/$Y$7</f>
        <v>4.5534869282215</v>
      </c>
      <c r="Z93" s="136">
        <f>VLOOKUP(J93,Ökobaudat!$D$5:$CK$165,Ökobaudat!$AN$1,0)/$Y$7</f>
        <v>0</v>
      </c>
      <c r="AA93" s="136">
        <f>VLOOKUP(J93,Ökobaudat!$D$5:$CK$165,Ökobaudat!$AP$1,0)/$Y$7</f>
        <v>31.477211783663055</v>
      </c>
      <c r="AB93" s="136">
        <f>VLOOKUP(J93,Ökobaudat!$D$5:$CK$165,Ökobaudat!$AQ$1,0)/$Y$7</f>
        <v>6.4999999999999991</v>
      </c>
      <c r="AC93" s="136" t="str">
        <f>IF(ISNUMBER(VLOOKUP(J93,Ökobaudat!$D$5:$CK$165,Ökobaudat!$AF$1,0)),VLOOKUP(J93,Ökobaudat!$D$5:$CK$165,Ökobaudat!$AF$1,0),"")</f>
        <v/>
      </c>
      <c r="AD93" s="136">
        <f>IF(ISNUMBER(VLOOKUP(J93,Ökobaudat!$D$5:$CK$165,Ökobaudat!$BF$1,0)),VLOOKUP(J93,Ökobaudat!$D$5:$CK$165,Ökobaudat!$BF$1,0),"")</f>
        <v>8.4254129465164294</v>
      </c>
      <c r="AE93" s="136" t="str">
        <f>IF(ISTEXT(VLOOKUP(J93,Ökobaudat!$D$5:$CK$165,Ökobaudat!$BX$1,0)),VLOOKUP(J93,Ökobaudat!$D$5:$CK$165,Ökobaudat!$BX$1,0),"")</f>
        <v>kk 2022-04-19: according to description:PVC-profil mit Aussteifung, 2,8 kg/m</v>
      </c>
    </row>
    <row r="94" spans="2:31" ht="13.5" x14ac:dyDescent="0.2">
      <c r="B94" s="346">
        <f t="shared" si="16"/>
        <v>321</v>
      </c>
      <c r="C94" s="145" t="str">
        <f t="shared" si="18"/>
        <v>321-Schüco AWS 90.SI+ frame profile for windows without triple glazing;  kg/m³;  W/(mK); 40 years</v>
      </c>
      <c r="D94" s="348" t="str">
        <f t="shared" si="21"/>
        <v>321</v>
      </c>
      <c r="E94" s="93"/>
      <c r="F94" s="142">
        <f>IF(L94=$F$6,IF(ISNUMBER(Q94),Q94*U94,U94*S94),IF(L94=$F$4,U94/N94,U94))</f>
        <v>1637.5920842222076</v>
      </c>
      <c r="G94" s="142">
        <f t="shared" si="22"/>
        <v>462.707839533021</v>
      </c>
      <c r="H94" s="94">
        <v>40</v>
      </c>
      <c r="I94" s="133"/>
      <c r="J94" s="133" t="s">
        <v>875</v>
      </c>
      <c r="K94" s="137">
        <f>VLOOKUP(J94,Ökobaudat!$D$5:$CK$165,Ökobaudat!$T$1,0)</f>
        <v>1</v>
      </c>
      <c r="L94" s="136" t="str">
        <f>VLOOKUP(J94,Ökobaudat!$D$5:$CK$165,Ökobaudat!$U$1,0)</f>
        <v>qm</v>
      </c>
      <c r="M94" s="93">
        <v>1000</v>
      </c>
      <c r="N94" s="139">
        <f t="shared" si="20"/>
        <v>1</v>
      </c>
      <c r="O94" s="135">
        <f>IF(ISNUMBER(VLOOKUP(J94,Ökobaudat!$D$5:$CK$165,Ökobaudat!$AA$1,0)),VLOOKUP(J94,Ökobaudat!$D$5:$CK$165,Ökobaudat!$AA$1,0),"")</f>
        <v>0.09</v>
      </c>
      <c r="P94" s="93"/>
      <c r="Q94" s="135" t="str">
        <f>IF(ISNUMBER(VLOOKUP(J94,Ökobaudat!$D$5:$CK$160,Ökobaudat!$Z$1,0)),VLOOKUP(J94,Ökobaudat!$D$5:$CK$160,Ökobaudat!$Z$1,0),"")</f>
        <v/>
      </c>
      <c r="R94" s="138"/>
      <c r="S94" s="140" t="str">
        <f t="shared" si="17"/>
        <v/>
      </c>
      <c r="T94" s="124">
        <f t="shared" si="13"/>
        <v>1</v>
      </c>
      <c r="U94" s="124">
        <f>IF(Balance!$H$12=Data!$B$4,W94,V94)</f>
        <v>1637.5920842222076</v>
      </c>
      <c r="V94" s="124">
        <f t="shared" si="23"/>
        <v>1637.5920842222076</v>
      </c>
      <c r="W94" s="124">
        <f t="shared" si="24"/>
        <v>1770.0341021431566</v>
      </c>
      <c r="X94" s="124">
        <f t="shared" si="25"/>
        <v>462.707839533021</v>
      </c>
      <c r="Y94" s="136">
        <f>VLOOKUP(J94,Ökobaudat!$D$5:$CK$165,Ökobaudat!$AM$1,0)/$Y$7</f>
        <v>155.06373898351029</v>
      </c>
      <c r="Z94" s="136">
        <f>VLOOKUP(J94,Ökobaudat!$D$5:$CK$165,Ökobaudat!$AN$1,0)/$Y$7</f>
        <v>0</v>
      </c>
      <c r="AA94" s="136">
        <f>VLOOKUP(J94,Ökobaudat!$D$5:$CK$165,Ökobaudat!$AP$1,0)/$Y$7</f>
        <v>1482.5283452386973</v>
      </c>
      <c r="AB94" s="136">
        <f>VLOOKUP(J94,Ökobaudat!$D$5:$CK$165,Ökobaudat!$AQ$1,0)/$Y$7</f>
        <v>132.4420179209489</v>
      </c>
      <c r="AC94" s="136">
        <f>IF(ISNUMBER(VLOOKUP(J94,Ökobaudat!$D$5:$CK$165,Ökobaudat!$AF$1,0)),VLOOKUP(J94,Ökobaudat!$D$5:$CK$165,Ökobaudat!$AF$1,0),"")</f>
        <v>462.707839533021</v>
      </c>
      <c r="AD94" s="136" t="str">
        <f>IF(ISNUMBER(VLOOKUP(J94,Ökobaudat!$D$5:$CK$165,Ökobaudat!$BF$1,0)),VLOOKUP(J94,Ökobaudat!$D$5:$CK$165,Ökobaudat!$BF$1,0),"")</f>
        <v/>
      </c>
      <c r="AE94" s="136" t="str">
        <f>IF(ISTEXT(VLOOKUP(J94,Ökobaudat!$D$5:$CK$165,Ökobaudat!$BX$1,0)),VLOOKUP(J94,Ökobaudat!$D$5:$CK$165,Ökobaudat!$BX$1,0),"")</f>
        <v>kk 2022-04-19: according to dataset: Als funktionale Einheit wurde ein (virtueller) m² Rahmen festgelegt. Es handelt sich dabei nicht um die Menge 
Rahmen pro m² Produkt, sondern um 1 m² Verglasung bzw. um einen (virtuellen) m² Rahmen, d.h. ein beispielsweise 10 cm breiter und 1 m langer Rahmen wird mit dem Faktor 10 auf 1 m² Rahmen umgerechnet.</v>
      </c>
    </row>
    <row r="95" spans="2:31" ht="13.5" x14ac:dyDescent="0.2">
      <c r="B95" s="346">
        <f t="shared" si="16"/>
        <v>322</v>
      </c>
      <c r="C95" s="145" t="str">
        <f t="shared" si="18"/>
        <v>322-Extruded polystyrene (XPS); 39 kg/m³; 0.036 W/(mK); 80 years</v>
      </c>
      <c r="D95" s="348" t="str">
        <f t="shared" si="21"/>
        <v>322</v>
      </c>
      <c r="E95" s="93">
        <v>3.5999999999999997E-2</v>
      </c>
      <c r="F95" s="142">
        <f t="shared" si="26"/>
        <v>540.05697783972994</v>
      </c>
      <c r="G95" s="142">
        <f t="shared" si="22"/>
        <v>115.88862783720495</v>
      </c>
      <c r="H95" s="94">
        <v>80</v>
      </c>
      <c r="I95" s="133"/>
      <c r="J95" s="133" t="s">
        <v>787</v>
      </c>
      <c r="K95" s="137">
        <f>VLOOKUP(J95,Ökobaudat!$D$5:$CK$165,Ökobaudat!$T$1,0)</f>
        <v>1</v>
      </c>
      <c r="L95" s="136" t="str">
        <f>VLOOKUP(J95,Ökobaudat!$D$5:$CK$165,Ökobaudat!$U$1,0)</f>
        <v>m3</v>
      </c>
      <c r="M95" s="93"/>
      <c r="N95" s="139" t="str">
        <f t="shared" si="20"/>
        <v/>
      </c>
      <c r="O95" s="135" t="str">
        <f>IF(ISNUMBER(VLOOKUP(J95,Ökobaudat!$D$5:$CK$165,Ökobaudat!$AA$1,0)),VLOOKUP(J95,Ökobaudat!$D$5:$CK$165,Ökobaudat!$AA$1,0),"")</f>
        <v/>
      </c>
      <c r="P95" s="93"/>
      <c r="Q95" s="135">
        <f>IF(ISNUMBER(VLOOKUP(J95,Ökobaudat!$D$5:$CK$160,Ökobaudat!$Z$1,0)),VLOOKUP(J95,Ökobaudat!$D$5:$CK$160,Ökobaudat!$Z$1,0),"")</f>
        <v>32</v>
      </c>
      <c r="R95" s="138">
        <v>39</v>
      </c>
      <c r="S95" s="140">
        <f t="shared" si="17"/>
        <v>39</v>
      </c>
      <c r="T95" s="124">
        <f t="shared" ref="T95:T110" si="27">IF(ISNUMBER(S95),IF(ISNUMBER(Q95),S95/Q95,1),1)</f>
        <v>1.21875</v>
      </c>
      <c r="U95" s="124">
        <f>IF(Balance!$H$12=Data!$B$4,W95,V95)</f>
        <v>540.05697783972994</v>
      </c>
      <c r="V95" s="124">
        <f t="shared" si="23"/>
        <v>540.05697783972994</v>
      </c>
      <c r="W95" s="124">
        <f t="shared" si="24"/>
        <v>980.16114450639657</v>
      </c>
      <c r="X95" s="124">
        <f t="shared" si="25"/>
        <v>115.88862783720495</v>
      </c>
      <c r="Y95" s="136">
        <f>VLOOKUP(J95,Ökobaudat!$D$5:$CK$165,Ökobaudat!$AM$1,0)/$Y$7</f>
        <v>57.674011292984439</v>
      </c>
      <c r="Z95" s="136">
        <f>VLOOKUP(J95,Ökobaudat!$D$5:$CK$165,Ökobaudat!$AN$1,0)/$Y$7</f>
        <v>0</v>
      </c>
      <c r="AA95" s="136">
        <f>VLOOKUP(J95,Ökobaudat!$D$5:$CK$165,Ökobaudat!$AP$1,0)/$Y$7</f>
        <v>385.44966283192218</v>
      </c>
      <c r="AB95" s="136">
        <f>VLOOKUP(J95,Ökobaudat!$D$5:$CK$165,Ökobaudat!$AQ$1,0)/$Y$7</f>
        <v>361.11111111111109</v>
      </c>
      <c r="AC95" s="136" t="str">
        <f>IF(ISNUMBER(VLOOKUP(J95,Ökobaudat!$D$5:$CK$165,Ökobaudat!$AF$1,0)),VLOOKUP(J95,Ökobaudat!$D$5:$CK$165,Ökobaudat!$AF$1,0),"")</f>
        <v/>
      </c>
      <c r="AD95" s="136">
        <f>IF(ISNUMBER(VLOOKUP(J95,Ökobaudat!$D$5:$CK$165,Ökobaudat!$BF$1,0)),VLOOKUP(J95,Ökobaudat!$D$5:$CK$165,Ökobaudat!$BF$1,0),"")</f>
        <v>95.088104892065601</v>
      </c>
      <c r="AE95" s="136" t="str">
        <f>IF(ISTEXT(VLOOKUP(J95,Ökobaudat!$D$5:$CK$165,Ökobaudat!$BX$1,0)),VLOOKUP(J95,Ökobaudat!$D$5:$CK$165,Ökobaudat!$BX$1,0),"")</f>
        <v/>
      </c>
    </row>
    <row r="96" spans="2:31" ht="13.5" x14ac:dyDescent="0.2">
      <c r="B96" s="346">
        <f t="shared" si="16"/>
        <v>323</v>
      </c>
      <c r="C96" s="145" t="str">
        <f t="shared" si="18"/>
        <v>323-;  kg/m³;  W/(mK);  years</v>
      </c>
      <c r="D96" s="348" t="str">
        <f t="shared" si="21"/>
        <v>323</v>
      </c>
      <c r="E96" s="93"/>
      <c r="F96" s="142" t="e">
        <f t="shared" si="26"/>
        <v>#N/A</v>
      </c>
      <c r="G96" s="142" t="e">
        <f t="shared" si="22"/>
        <v>#N/A</v>
      </c>
      <c r="H96" s="94"/>
      <c r="I96" s="133"/>
      <c r="J96" s="133"/>
      <c r="K96" s="137" t="e">
        <f>VLOOKUP(J96,Ökobaudat!$D$5:$CK$165,Ökobaudat!$T$1,0)</f>
        <v>#N/A</v>
      </c>
      <c r="L96" s="136" t="e">
        <f>VLOOKUP(J96,Ökobaudat!$D$5:$CK$165,Ökobaudat!$U$1,0)</f>
        <v>#N/A</v>
      </c>
      <c r="M96" s="93"/>
      <c r="N96" s="139" t="str">
        <f t="shared" si="20"/>
        <v/>
      </c>
      <c r="O96" s="135" t="str">
        <f>IF(ISNUMBER(VLOOKUP(J96,Ökobaudat!$D$5:$CK$165,Ökobaudat!$AA$1,0)),VLOOKUP(J96,Ökobaudat!$D$5:$CK$165,Ökobaudat!$AA$1,0),"")</f>
        <v/>
      </c>
      <c r="P96" s="93"/>
      <c r="Q96" s="135" t="str">
        <f>IF(ISNUMBER(VLOOKUP(J96,Ökobaudat!$D$5:$CK$160,Ökobaudat!$Z$1,0)),VLOOKUP(J96,Ökobaudat!$D$5:$CK$160,Ökobaudat!$Z$1,0),"")</f>
        <v/>
      </c>
      <c r="R96" s="138"/>
      <c r="S96" s="140" t="str">
        <f t="shared" si="17"/>
        <v/>
      </c>
      <c r="T96" s="124">
        <f t="shared" si="27"/>
        <v>1</v>
      </c>
      <c r="U96" s="124" t="e">
        <f>IF(Balance!$H$12=Data!$B$4,W96,V96)</f>
        <v>#N/A</v>
      </c>
      <c r="V96" s="124" t="e">
        <f t="shared" si="23"/>
        <v>#N/A</v>
      </c>
      <c r="W96" s="124" t="e">
        <f t="shared" si="24"/>
        <v>#N/A</v>
      </c>
      <c r="X96" s="124">
        <f t="shared" si="25"/>
        <v>0</v>
      </c>
      <c r="Y96" s="136" t="e">
        <f>VLOOKUP(J96,Ökobaudat!$D$5:$CK$165,Ökobaudat!$AM$1,0)/$Y$7</f>
        <v>#N/A</v>
      </c>
      <c r="Z96" s="136" t="e">
        <f>VLOOKUP(J96,Ökobaudat!$D$5:$CK$165,Ökobaudat!$AN$1,0)/$Y$7</f>
        <v>#N/A</v>
      </c>
      <c r="AA96" s="136" t="e">
        <f>VLOOKUP(J96,Ökobaudat!$D$5:$CK$165,Ökobaudat!$AP$1,0)/$Y$7</f>
        <v>#N/A</v>
      </c>
      <c r="AB96" s="136" t="e">
        <f>VLOOKUP(J96,Ökobaudat!$D$5:$CK$165,Ökobaudat!$AQ$1,0)/$Y$7</f>
        <v>#N/A</v>
      </c>
      <c r="AC96" s="136" t="str">
        <f>IF(ISNUMBER(VLOOKUP(J96,Ökobaudat!$D$5:$CK$165,Ökobaudat!$AF$1,0)),VLOOKUP(J96,Ökobaudat!$D$5:$CK$165,Ökobaudat!$AF$1,0),"")</f>
        <v/>
      </c>
      <c r="AD96" s="136" t="str">
        <f>IF(ISNUMBER(VLOOKUP(J96,Ökobaudat!$D$5:$CK$165,Ökobaudat!$BF$1,0)),VLOOKUP(J96,Ökobaudat!$D$5:$CK$165,Ökobaudat!$BF$1,0),"")</f>
        <v/>
      </c>
      <c r="AE96" s="136" t="str">
        <f>IF(ISTEXT(VLOOKUP(J96,Ökobaudat!$D$5:$CK$165,Ökobaudat!$BX$1,0)),VLOOKUP(J96,Ökobaudat!$D$5:$CK$165,Ökobaudat!$BX$1,0),"")</f>
        <v/>
      </c>
    </row>
    <row r="97" spans="2:31" ht="13.5" x14ac:dyDescent="0.2">
      <c r="B97" s="346">
        <f t="shared" si="16"/>
        <v>324</v>
      </c>
      <c r="C97" s="145" t="str">
        <f t="shared" si="18"/>
        <v>324-EPS-foam (grey) with radiation absorber; 16.6 kg/m³; 0.035 W/(mK); 60 years</v>
      </c>
      <c r="D97" s="348" t="str">
        <f t="shared" si="21"/>
        <v>324</v>
      </c>
      <c r="E97" s="93">
        <v>3.5000000000000003E-2</v>
      </c>
      <c r="F97" s="142">
        <f t="shared" si="26"/>
        <v>217.89999999999998</v>
      </c>
      <c r="G97" s="142">
        <f t="shared" si="22"/>
        <v>49.7</v>
      </c>
      <c r="H97" s="94">
        <v>60</v>
      </c>
      <c r="I97" s="133"/>
      <c r="J97" s="133" t="s">
        <v>986</v>
      </c>
      <c r="K97" s="137">
        <f>VLOOKUP(J97,Ökobaudat!$D$5:$CK$165,Ökobaudat!$T$1,0)</f>
        <v>1</v>
      </c>
      <c r="L97" s="136" t="str">
        <f>VLOOKUP(J97,Ökobaudat!$D$5:$CK$165,Ökobaudat!$U$1,0)</f>
        <v>m3</v>
      </c>
      <c r="M97" s="93"/>
      <c r="N97" s="139" t="str">
        <f t="shared" si="20"/>
        <v/>
      </c>
      <c r="O97" s="135" t="str">
        <f>IF(ISNUMBER(VLOOKUP(J97,Ökobaudat!$D$5:$CK$165,Ökobaudat!$AA$1,0)),VLOOKUP(J97,Ökobaudat!$D$5:$CK$165,Ökobaudat!$AA$1,0),"")</f>
        <v/>
      </c>
      <c r="P97" s="93"/>
      <c r="Q97" s="135">
        <f>IF(ISNUMBER(VLOOKUP(J97,Ökobaudat!$D$5:$CK$160,Ökobaudat!$Z$1,0)),VLOOKUP(J97,Ökobaudat!$D$5:$CK$160,Ökobaudat!$Z$1,0),"")</f>
        <v>16.600000000000001</v>
      </c>
      <c r="R97" s="138"/>
      <c r="S97" s="140">
        <f t="shared" si="17"/>
        <v>16.600000000000001</v>
      </c>
      <c r="T97" s="124">
        <f t="shared" si="27"/>
        <v>1</v>
      </c>
      <c r="U97" s="124">
        <f>IF(Balance!$H$12=Data!$B$4,W97,V97)</f>
        <v>217.89999999999998</v>
      </c>
      <c r="V97" s="124">
        <f t="shared" si="23"/>
        <v>217.89999999999998</v>
      </c>
      <c r="W97" s="124">
        <f t="shared" si="24"/>
        <v>400.5</v>
      </c>
      <c r="X97" s="124">
        <f t="shared" si="25"/>
        <v>49.7</v>
      </c>
      <c r="Y97" s="136">
        <f>VLOOKUP(J97,Ökobaudat!$D$5:$CK$165,Ökobaudat!$AM$1,0)/$Y$7</f>
        <v>6.0555555555555554</v>
      </c>
      <c r="Z97" s="136">
        <f>VLOOKUP(J97,Ökobaudat!$D$5:$CK$165,Ökobaudat!$AN$1,0)/$Y$7</f>
        <v>0</v>
      </c>
      <c r="AA97" s="136">
        <f>VLOOKUP(J97,Ökobaudat!$D$5:$CK$165,Ökobaudat!$AP$1,0)/$Y$7</f>
        <v>211.84444444444443</v>
      </c>
      <c r="AB97" s="136">
        <f>VLOOKUP(J97,Ökobaudat!$D$5:$CK$165,Ökobaudat!$AQ$1,0)/$Y$7</f>
        <v>182.6</v>
      </c>
      <c r="AC97" s="136">
        <f>IF(ISNUMBER(VLOOKUP(J97,Ökobaudat!$D$5:$CK$165,Ökobaudat!$AF$1,0)),VLOOKUP(J97,Ökobaudat!$D$5:$CK$165,Ökobaudat!$AF$1,0),"")</f>
        <v>49.7</v>
      </c>
      <c r="AD97" s="136" t="str">
        <f>IF(ISNUMBER(VLOOKUP(J97,Ökobaudat!$D$5:$CK$165,Ökobaudat!$BF$1,0)),VLOOKUP(J97,Ökobaudat!$D$5:$CK$165,Ökobaudat!$BF$1,0),"")</f>
        <v/>
      </c>
      <c r="AE97" s="136" t="str">
        <f>IF(ISTEXT(VLOOKUP(J97,Ökobaudat!$D$5:$CK$165,Ökobaudat!$BX$1,0)),VLOOKUP(J97,Ökobaudat!$D$5:$CK$165,Ökobaudat!$BX$1,0),"")</f>
        <v/>
      </c>
    </row>
    <row r="98" spans="2:31" ht="13.5" x14ac:dyDescent="0.2">
      <c r="B98" s="346">
        <f t="shared" si="16"/>
        <v>325</v>
      </c>
      <c r="C98" s="145" t="str">
        <f t="shared" si="18"/>
        <v>325-Roofing tiles (including accessories); 2020 kg/m³;  W/(mK); 80 years</v>
      </c>
      <c r="D98" s="348" t="str">
        <f t="shared" si="21"/>
        <v>325</v>
      </c>
      <c r="E98" s="93"/>
      <c r="F98" s="142">
        <f>IF(L98=$F$6,IF(ISNUMBER(Q98),Q98*U98,U98*S98),IF(L98=$F$4,U98/N98,U98))</f>
        <v>4281.6666666666661</v>
      </c>
      <c r="G98" s="142">
        <f t="shared" si="22"/>
        <v>821.93333333333339</v>
      </c>
      <c r="H98" s="94">
        <v>80</v>
      </c>
      <c r="I98" s="133"/>
      <c r="J98" s="133" t="s">
        <v>946</v>
      </c>
      <c r="K98" s="137">
        <f>VLOOKUP(J98,Ökobaudat!$D$5:$CK$165,Ökobaudat!$T$1,0)</f>
        <v>1</v>
      </c>
      <c r="L98" s="136" t="str">
        <f>VLOOKUP(J98,Ökobaudat!$D$5:$CK$165,Ökobaudat!$U$1,0)</f>
        <v>qm</v>
      </c>
      <c r="M98" s="93">
        <v>15</v>
      </c>
      <c r="N98" s="139">
        <f>IF(ISNUMBER(M98),M98/1000,IF(ISNUMBER(P98),P98/S98,""))</f>
        <v>1.4999999999999999E-2</v>
      </c>
      <c r="O98" s="135">
        <f>IF(ISNUMBER(VLOOKUP(J98,Ökobaudat!$D$5:$CK$165,Ökobaudat!$AA$1,0)),VLOOKUP(J98,Ökobaudat!$D$5:$CK$165,Ökobaudat!$AA$1,0),"")</f>
        <v>1.4999999999999999E-2</v>
      </c>
      <c r="P98" s="93"/>
      <c r="Q98" s="135">
        <f>IF(ISNUMBER(VLOOKUP(J98,Ökobaudat!$D$5:$CK$160,Ökobaudat!$Z$1,0)),VLOOKUP(J98,Ökobaudat!$D$5:$CK$160,Ökobaudat!$Z$1,0),"")</f>
        <v>2020</v>
      </c>
      <c r="R98" s="138"/>
      <c r="S98" s="140">
        <f t="shared" si="17"/>
        <v>2020</v>
      </c>
      <c r="T98" s="124">
        <f t="shared" si="27"/>
        <v>1</v>
      </c>
      <c r="U98" s="124">
        <f>IF(Balance!$H$12=Data!$B$4,W98,V98)</f>
        <v>64.224999999999994</v>
      </c>
      <c r="V98" s="124">
        <f t="shared" si="23"/>
        <v>64.224999999999994</v>
      </c>
      <c r="W98" s="124">
        <f t="shared" si="24"/>
        <v>64.85833333333332</v>
      </c>
      <c r="X98" s="124">
        <f t="shared" si="25"/>
        <v>12.329000000000001</v>
      </c>
      <c r="Y98" s="136">
        <f>VLOOKUP(J98,Ökobaudat!$D$5:$CK$165,Ökobaudat!$AM$1,0)/$Y$7</f>
        <v>9.8749999999999982</v>
      </c>
      <c r="Z98" s="136">
        <f>VLOOKUP(J98,Ökobaudat!$D$5:$CK$165,Ökobaudat!$AN$1,0)/$Y$7</f>
        <v>0.38888888888888884</v>
      </c>
      <c r="AA98" s="136">
        <f>VLOOKUP(J98,Ökobaudat!$D$5:$CK$165,Ökobaudat!$AP$1,0)/$Y$7</f>
        <v>54.349999999999994</v>
      </c>
      <c r="AB98" s="136">
        <f>VLOOKUP(J98,Ökobaudat!$D$5:$CK$165,Ökobaudat!$AQ$1,0)/$Y$7</f>
        <v>0.24444444444444444</v>
      </c>
      <c r="AC98" s="136" t="str">
        <f>IF(ISNUMBER(VLOOKUP(J98,Ökobaudat!$D$5:$CK$165,Ökobaudat!$AF$1,0)),VLOOKUP(J98,Ökobaudat!$D$5:$CK$165,Ökobaudat!$AF$1,0),"")</f>
        <v/>
      </c>
      <c r="AD98" s="136">
        <f>IF(ISNUMBER(VLOOKUP(J98,Ökobaudat!$D$5:$CK$165,Ökobaudat!$BF$1,0)),VLOOKUP(J98,Ökobaudat!$D$5:$CK$165,Ökobaudat!$BF$1,0),"")</f>
        <v>12.329000000000001</v>
      </c>
      <c r="AE98" s="136" t="str">
        <f>IF(ISTEXT(VLOOKUP(J98,Ökobaudat!$D$5:$CK$165,Ökobaudat!$BX$1,0)),VLOOKUP(J98,Ökobaudat!$D$5:$CK$165,Ökobaudat!$BX$1,0),"")</f>
        <v/>
      </c>
    </row>
    <row r="99" spans="2:31" ht="13.5" x14ac:dyDescent="0.2">
      <c r="B99" s="346">
        <f t="shared" si="16"/>
        <v>326</v>
      </c>
      <c r="C99" s="145" t="str">
        <f t="shared" si="18"/>
        <v>326-ArmaStruct250</v>
      </c>
      <c r="D99" s="348" t="str">
        <f t="shared" si="21"/>
        <v>326</v>
      </c>
      <c r="E99" s="93">
        <v>0.55000000000000004</v>
      </c>
      <c r="F99" s="142">
        <f t="shared" si="26"/>
        <v>1541.666666666667</v>
      </c>
      <c r="G99" s="142">
        <f t="shared" si="22"/>
        <v>456.5</v>
      </c>
      <c r="H99" s="94">
        <v>40</v>
      </c>
      <c r="I99" s="133" t="s">
        <v>974</v>
      </c>
      <c r="J99" s="133" t="s">
        <v>970</v>
      </c>
      <c r="K99" s="137">
        <f>VLOOKUP(J99,Ökobaudat!$D$5:$CK$165,Ökobaudat!$T$1,0)</f>
        <v>1</v>
      </c>
      <c r="L99" s="136" t="str">
        <f>VLOOKUP(J99,Ökobaudat!$D$5:$CK$165,Ökobaudat!$U$1,0)</f>
        <v>m3</v>
      </c>
      <c r="M99" s="93"/>
      <c r="N99" s="139" t="str">
        <f t="shared" si="20"/>
        <v/>
      </c>
      <c r="O99" s="135" t="str">
        <f>IF(ISNUMBER(VLOOKUP(J99,Ökobaudat!$D$5:$CK$165,Ökobaudat!$AA$1,0)),VLOOKUP(J99,Ökobaudat!$D$5:$CK$165,Ökobaudat!$AA$1,0),"")</f>
        <v/>
      </c>
      <c r="P99" s="93"/>
      <c r="Q99" s="135">
        <f>IF(ISNUMBER(VLOOKUP(J99,Ökobaudat!$D$5:$CK$160,Ökobaudat!$Z$1,0)),VLOOKUP(J99,Ökobaudat!$D$5:$CK$160,Ökobaudat!$Z$1,0),"")</f>
        <v>50</v>
      </c>
      <c r="R99" s="138">
        <v>250</v>
      </c>
      <c r="S99" s="140">
        <f t="shared" si="17"/>
        <v>250</v>
      </c>
      <c r="T99" s="124">
        <f t="shared" si="27"/>
        <v>5</v>
      </c>
      <c r="U99" s="124">
        <f>IF(Balance!$H$12=Data!$B$4,W99,V99)</f>
        <v>1541.666666666667</v>
      </c>
      <c r="V99" s="124">
        <f t="shared" si="23"/>
        <v>1541.666666666667</v>
      </c>
      <c r="W99" s="124">
        <f t="shared" si="24"/>
        <v>3260.1388888888891</v>
      </c>
      <c r="X99" s="124">
        <f t="shared" si="25"/>
        <v>456.5</v>
      </c>
      <c r="Y99" s="136">
        <f>VLOOKUP(J99,Ökobaudat!$D$5:$CK$165,Ökobaudat!$AM$1,0)/$Y$7</f>
        <v>113.61111111111111</v>
      </c>
      <c r="Z99" s="136">
        <f>VLOOKUP(J99,Ökobaudat!$D$5:$CK$165,Ökobaudat!$AN$1,0)/$Y$7</f>
        <v>18.694444444444443</v>
      </c>
      <c r="AA99" s="136">
        <f>VLOOKUP(J99,Ökobaudat!$D$5:$CK$165,Ökobaudat!$AP$1,0)/$Y$7</f>
        <v>194.72222222222223</v>
      </c>
      <c r="AB99" s="136">
        <f>VLOOKUP(J99,Ökobaudat!$D$5:$CK$165,Ökobaudat!$AQ$1,0)/$Y$7</f>
        <v>325</v>
      </c>
      <c r="AC99" s="136">
        <f>IF(ISNUMBER(VLOOKUP(J99,Ökobaudat!$D$5:$CK$165,Ökobaudat!$AF$1,0)),VLOOKUP(J99,Ökobaudat!$D$5:$CK$165,Ökobaudat!$AF$1,0),"")</f>
        <v>91.3</v>
      </c>
      <c r="AD99" s="136" t="str">
        <f>IF(ISNUMBER(VLOOKUP(J99,Ökobaudat!$D$5:$CK$165,Ökobaudat!$BF$1,0)),VLOOKUP(J99,Ökobaudat!$D$5:$CK$165,Ökobaudat!$BF$1,0),"")</f>
        <v/>
      </c>
      <c r="AE99" s="136" t="str">
        <f>IF(ISTEXT(VLOOKUP(J99,Ökobaudat!$D$5:$CK$165,Ökobaudat!$BX$1,0)),VLOOKUP(J99,Ökobaudat!$D$5:$CK$165,Ökobaudat!$BX$1,0),"")</f>
        <v/>
      </c>
    </row>
    <row r="100" spans="2:31" ht="13.5" x14ac:dyDescent="0.2">
      <c r="B100" s="346">
        <f t="shared" si="16"/>
        <v>327</v>
      </c>
      <c r="C100" s="145" t="str">
        <f t="shared" si="18"/>
        <v>327-Holzfaserdämmstoff Trockenverfahren (Durchschnitt DE);  kg/m³;  W/(mK); 40 years</v>
      </c>
      <c r="D100" s="348" t="str">
        <f t="shared" si="21"/>
        <v>327</v>
      </c>
      <c r="E100" s="93"/>
      <c r="F100" s="142" t="e">
        <f t="shared" si="26"/>
        <v>#N/A</v>
      </c>
      <c r="G100" s="142" t="e">
        <f t="shared" si="22"/>
        <v>#N/A</v>
      </c>
      <c r="H100" s="94">
        <v>40</v>
      </c>
      <c r="I100" s="133"/>
      <c r="J100" s="133" t="s">
        <v>276</v>
      </c>
      <c r="K100" s="137" t="e">
        <f>VLOOKUP(J100,Ökobaudat!$D$5:$CK$165,Ökobaudat!$T$1,0)</f>
        <v>#N/A</v>
      </c>
      <c r="L100" s="136" t="e">
        <f>VLOOKUP(J100,Ökobaudat!$D$5:$CK$165,Ökobaudat!$U$1,0)</f>
        <v>#N/A</v>
      </c>
      <c r="M100" s="93"/>
      <c r="N100" s="139" t="str">
        <f t="shared" si="20"/>
        <v/>
      </c>
      <c r="O100" s="135" t="str">
        <f>IF(ISNUMBER(VLOOKUP(J100,Ökobaudat!$D$5:$CK$165,Ökobaudat!$AA$1,0)),VLOOKUP(J100,Ökobaudat!$D$5:$CK$165,Ökobaudat!$AA$1,0),"")</f>
        <v/>
      </c>
      <c r="P100" s="93"/>
      <c r="Q100" s="135" t="str">
        <f>IF(ISNUMBER(VLOOKUP(J100,Ökobaudat!$D$5:$CK$160,Ökobaudat!$Z$1,0)),VLOOKUP(J100,Ökobaudat!$D$5:$CK$160,Ökobaudat!$Z$1,0),"")</f>
        <v/>
      </c>
      <c r="R100" s="138"/>
      <c r="S100" s="140" t="str">
        <f t="shared" si="17"/>
        <v/>
      </c>
      <c r="T100" s="124">
        <f t="shared" si="27"/>
        <v>1</v>
      </c>
      <c r="U100" s="124" t="e">
        <f>IF(Balance!$H$12=Data!$B$4,W100,V100)</f>
        <v>#N/A</v>
      </c>
      <c r="V100" s="124" t="e">
        <f t="shared" si="23"/>
        <v>#N/A</v>
      </c>
      <c r="W100" s="124" t="e">
        <f t="shared" si="24"/>
        <v>#N/A</v>
      </c>
      <c r="X100" s="124">
        <f t="shared" si="25"/>
        <v>0</v>
      </c>
      <c r="Y100" s="136" t="e">
        <f>VLOOKUP(J100,Ökobaudat!$D$5:$CK$165,Ökobaudat!$AM$1,0)/$Y$7</f>
        <v>#N/A</v>
      </c>
      <c r="Z100" s="136" t="e">
        <f>VLOOKUP(J100,Ökobaudat!$D$5:$CK$165,Ökobaudat!$AN$1,0)/$Y$7</f>
        <v>#N/A</v>
      </c>
      <c r="AA100" s="136" t="e">
        <f>VLOOKUP(J100,Ökobaudat!$D$5:$CK$165,Ökobaudat!$AP$1,0)/$Y$7</f>
        <v>#N/A</v>
      </c>
      <c r="AB100" s="136" t="e">
        <f>VLOOKUP(J100,Ökobaudat!$D$5:$CK$165,Ökobaudat!$AQ$1,0)/$Y$7</f>
        <v>#N/A</v>
      </c>
      <c r="AC100" s="136" t="str">
        <f>IF(ISNUMBER(VLOOKUP(J100,Ökobaudat!$D$5:$CK$165,Ökobaudat!$AF$1,0)),VLOOKUP(J100,Ökobaudat!$D$5:$CK$165,Ökobaudat!$AF$1,0),"")</f>
        <v/>
      </c>
      <c r="AD100" s="136" t="str">
        <f>IF(ISNUMBER(VLOOKUP(J100,Ökobaudat!$D$5:$CK$165,Ökobaudat!$BF$1,0)),VLOOKUP(J100,Ökobaudat!$D$5:$CK$165,Ökobaudat!$BF$1,0),"")</f>
        <v/>
      </c>
      <c r="AE100" s="136" t="str">
        <f>IF(ISTEXT(VLOOKUP(J100,Ökobaudat!$D$5:$CK$165,Ökobaudat!$BX$1,0)),VLOOKUP(J100,Ökobaudat!$D$5:$CK$165,Ökobaudat!$BX$1,0),"")</f>
        <v/>
      </c>
    </row>
    <row r="101" spans="2:31" ht="13.5" x14ac:dyDescent="0.2">
      <c r="B101" s="346">
        <f t="shared" si="16"/>
        <v>328</v>
      </c>
      <c r="C101" s="145" t="str">
        <f t="shared" si="18"/>
        <v>328-Mineral wool (flat roof insulation); 145 kg/m³; 0.045 W/(mK); 80 years</v>
      </c>
      <c r="D101" s="348" t="str">
        <f t="shared" si="21"/>
        <v>328</v>
      </c>
      <c r="E101" s="93">
        <v>4.4999999999999998E-2</v>
      </c>
      <c r="F101" s="142">
        <f t="shared" si="26"/>
        <v>679.51079196710771</v>
      </c>
      <c r="G101" s="142">
        <f t="shared" si="22"/>
        <v>207.98677030368501</v>
      </c>
      <c r="H101" s="94">
        <v>80</v>
      </c>
      <c r="I101" s="133"/>
      <c r="J101" s="133" t="s">
        <v>474</v>
      </c>
      <c r="K101" s="137">
        <f>VLOOKUP(J101,Ökobaudat!$D$5:$CK$165,Ökobaudat!$T$1,0)</f>
        <v>1</v>
      </c>
      <c r="L101" s="136" t="str">
        <f>VLOOKUP(J101,Ökobaudat!$D$5:$CK$165,Ökobaudat!$U$1,0)</f>
        <v>m3</v>
      </c>
      <c r="M101" s="93"/>
      <c r="N101" s="139" t="str">
        <f t="shared" si="20"/>
        <v/>
      </c>
      <c r="O101" s="135" t="str">
        <f>IF(ISNUMBER(VLOOKUP(J101,Ökobaudat!$D$5:$CK$165,Ökobaudat!$AA$1,0)),VLOOKUP(J101,Ökobaudat!$D$5:$CK$165,Ökobaudat!$AA$1,0),"")</f>
        <v/>
      </c>
      <c r="P101" s="93"/>
      <c r="Q101" s="135">
        <f>IF(ISNUMBER(VLOOKUP(J101,Ökobaudat!$D$5:$CK$160,Ökobaudat!$Z$1,0)),VLOOKUP(J101,Ökobaudat!$D$5:$CK$160,Ökobaudat!$Z$1,0),"")</f>
        <v>145</v>
      </c>
      <c r="R101" s="138"/>
      <c r="S101" s="140">
        <f t="shared" si="17"/>
        <v>145</v>
      </c>
      <c r="T101" s="124">
        <f t="shared" si="27"/>
        <v>1</v>
      </c>
      <c r="U101" s="124">
        <f>IF(Balance!$H$12=Data!$B$4,W101,V101)</f>
        <v>679.51079196710771</v>
      </c>
      <c r="V101" s="124">
        <f t="shared" si="23"/>
        <v>679.51079196710771</v>
      </c>
      <c r="W101" s="124">
        <f t="shared" si="24"/>
        <v>679.51079196710771</v>
      </c>
      <c r="X101" s="124">
        <f t="shared" si="25"/>
        <v>207.98677030368501</v>
      </c>
      <c r="Y101" s="136">
        <f>VLOOKUP(J101,Ökobaudat!$D$5:$CK$165,Ökobaudat!$AM$1,0)/$Y$7</f>
        <v>107.98945545711889</v>
      </c>
      <c r="Z101" s="136">
        <f>VLOOKUP(J101,Ökobaudat!$D$5:$CK$165,Ökobaudat!$AN$1,0)/$Y$7</f>
        <v>0</v>
      </c>
      <c r="AA101" s="136">
        <f>VLOOKUP(J101,Ökobaudat!$D$5:$CK$165,Ökobaudat!$AP$1,0)/$Y$7</f>
        <v>571.52133650998883</v>
      </c>
      <c r="AB101" s="136">
        <f>VLOOKUP(J101,Ökobaudat!$D$5:$CK$165,Ökobaudat!$AQ$1,0)/$Y$7</f>
        <v>0</v>
      </c>
      <c r="AC101" s="136" t="str">
        <f>IF(ISNUMBER(VLOOKUP(J101,Ökobaudat!$D$5:$CK$165,Ökobaudat!$AF$1,0)),VLOOKUP(J101,Ökobaudat!$D$5:$CK$165,Ökobaudat!$AF$1,0),"")</f>
        <v/>
      </c>
      <c r="AD101" s="136">
        <f>IF(ISNUMBER(VLOOKUP(J101,Ökobaudat!$D$5:$CK$165,Ökobaudat!$BF$1,0)),VLOOKUP(J101,Ökobaudat!$D$5:$CK$165,Ökobaudat!$BF$1,0),"")</f>
        <v>207.98677030368501</v>
      </c>
      <c r="AE101" s="136" t="str">
        <f>IF(ISTEXT(VLOOKUP(J101,Ökobaudat!$D$5:$CK$165,Ökobaudat!$BX$1,0)),VLOOKUP(J101,Ökobaudat!$D$5:$CK$165,Ökobaudat!$BX$1,0),"")</f>
        <v/>
      </c>
    </row>
    <row r="102" spans="2:31" ht="13.5" x14ac:dyDescent="0.2">
      <c r="B102" s="346">
        <f t="shared" si="16"/>
        <v>329</v>
      </c>
      <c r="C102" s="145" t="str">
        <f t="shared" si="18"/>
        <v>329-;  kg/m³;  W/(mK);  years</v>
      </c>
      <c r="D102" s="348" t="str">
        <f t="shared" si="21"/>
        <v>329</v>
      </c>
      <c r="E102" s="93"/>
      <c r="F102" s="142" t="e">
        <f t="shared" si="26"/>
        <v>#N/A</v>
      </c>
      <c r="G102" s="142" t="e">
        <f t="shared" si="22"/>
        <v>#N/A</v>
      </c>
      <c r="H102" s="94"/>
      <c r="I102" s="133"/>
      <c r="J102" s="133"/>
      <c r="K102" s="137" t="e">
        <f>VLOOKUP(J102,Ökobaudat!$D$5:$CK$165,Ökobaudat!$T$1,0)</f>
        <v>#N/A</v>
      </c>
      <c r="L102" s="136" t="e">
        <f>VLOOKUP(J102,Ökobaudat!$D$5:$CK$165,Ökobaudat!$U$1,0)</f>
        <v>#N/A</v>
      </c>
      <c r="M102" s="93"/>
      <c r="N102" s="139" t="str">
        <f t="shared" si="20"/>
        <v/>
      </c>
      <c r="O102" s="135" t="str">
        <f>IF(ISNUMBER(VLOOKUP(J102,Ökobaudat!$D$5:$CK$165,Ökobaudat!$AA$1,0)),VLOOKUP(J102,Ökobaudat!$D$5:$CK$165,Ökobaudat!$AA$1,0),"")</f>
        <v/>
      </c>
      <c r="P102" s="93"/>
      <c r="Q102" s="135" t="str">
        <f>IF(ISNUMBER(VLOOKUP(J102,Ökobaudat!$D$5:$CK$160,Ökobaudat!$Z$1,0)),VLOOKUP(J102,Ökobaudat!$D$5:$CK$160,Ökobaudat!$Z$1,0),"")</f>
        <v/>
      </c>
      <c r="R102" s="138"/>
      <c r="S102" s="140" t="str">
        <f t="shared" si="17"/>
        <v/>
      </c>
      <c r="T102" s="124">
        <f t="shared" si="27"/>
        <v>1</v>
      </c>
      <c r="U102" s="124" t="e">
        <f>IF(Balance!$H$12=Data!$B$4,W102,V102)</f>
        <v>#N/A</v>
      </c>
      <c r="V102" s="124" t="e">
        <f t="shared" si="23"/>
        <v>#N/A</v>
      </c>
      <c r="W102" s="124" t="e">
        <f t="shared" si="24"/>
        <v>#N/A</v>
      </c>
      <c r="X102" s="124">
        <f t="shared" si="25"/>
        <v>0</v>
      </c>
      <c r="Y102" s="136" t="e">
        <f>VLOOKUP(J102,Ökobaudat!$D$5:$CK$165,Ökobaudat!$AM$1,0)/$Y$7</f>
        <v>#N/A</v>
      </c>
      <c r="Z102" s="136" t="e">
        <f>VLOOKUP(J102,Ökobaudat!$D$5:$CK$165,Ökobaudat!$AN$1,0)/$Y$7</f>
        <v>#N/A</v>
      </c>
      <c r="AA102" s="136" t="e">
        <f>VLOOKUP(J102,Ökobaudat!$D$5:$CK$165,Ökobaudat!$AP$1,0)/$Y$7</f>
        <v>#N/A</v>
      </c>
      <c r="AB102" s="136" t="e">
        <f>VLOOKUP(J102,Ökobaudat!$D$5:$CK$165,Ökobaudat!$AQ$1,0)/$Y$7</f>
        <v>#N/A</v>
      </c>
      <c r="AC102" s="136" t="str">
        <f>IF(ISNUMBER(VLOOKUP(J102,Ökobaudat!$D$5:$CK$165,Ökobaudat!$AF$1,0)),VLOOKUP(J102,Ökobaudat!$D$5:$CK$165,Ökobaudat!$AF$1,0),"")</f>
        <v/>
      </c>
      <c r="AD102" s="136" t="str">
        <f>IF(ISNUMBER(VLOOKUP(J102,Ökobaudat!$D$5:$CK$165,Ökobaudat!$BF$1,0)),VLOOKUP(J102,Ökobaudat!$D$5:$CK$165,Ökobaudat!$BF$1,0),"")</f>
        <v/>
      </c>
      <c r="AE102" s="136" t="str">
        <f>IF(ISTEXT(VLOOKUP(J102,Ökobaudat!$D$5:$CK$165,Ökobaudat!$BX$1,0)),VLOOKUP(J102,Ökobaudat!$D$5:$CK$165,Ökobaudat!$BX$1,0),"")</f>
        <v/>
      </c>
    </row>
    <row r="103" spans="2:31" ht="13.5" x14ac:dyDescent="0.2">
      <c r="B103" s="346">
        <f t="shared" si="16"/>
        <v>330</v>
      </c>
      <c r="C103" s="145" t="str">
        <f t="shared" si="18"/>
        <v>330-;  kg/m³;  W/(mK);  years</v>
      </c>
      <c r="D103" s="348" t="str">
        <f t="shared" si="21"/>
        <v>330</v>
      </c>
      <c r="E103" s="93"/>
      <c r="F103" s="142" t="e">
        <f t="shared" si="26"/>
        <v>#N/A</v>
      </c>
      <c r="G103" s="142" t="e">
        <f t="shared" si="22"/>
        <v>#N/A</v>
      </c>
      <c r="H103" s="94"/>
      <c r="I103" s="133"/>
      <c r="J103" s="133"/>
      <c r="K103" s="137" t="e">
        <f>VLOOKUP(J103,Ökobaudat!$D$5:$CK$165,Ökobaudat!$T$1,0)</f>
        <v>#N/A</v>
      </c>
      <c r="L103" s="136" t="e">
        <f>VLOOKUP(J103,Ökobaudat!$D$5:$CK$165,Ökobaudat!$U$1,0)</f>
        <v>#N/A</v>
      </c>
      <c r="M103" s="93"/>
      <c r="N103" s="139" t="str">
        <f t="shared" si="20"/>
        <v/>
      </c>
      <c r="O103" s="135" t="str">
        <f>IF(ISNUMBER(VLOOKUP(J103,Ökobaudat!$D$5:$CK$165,Ökobaudat!$AA$1,0)),VLOOKUP(J103,Ökobaudat!$D$5:$CK$165,Ökobaudat!$AA$1,0),"")</f>
        <v/>
      </c>
      <c r="P103" s="93"/>
      <c r="Q103" s="135" t="str">
        <f>IF(ISNUMBER(VLOOKUP(J103,Ökobaudat!$D$5:$CK$160,Ökobaudat!$Z$1,0)),VLOOKUP(J103,Ökobaudat!$D$5:$CK$160,Ökobaudat!$Z$1,0),"")</f>
        <v/>
      </c>
      <c r="R103" s="138"/>
      <c r="S103" s="140" t="str">
        <f t="shared" si="17"/>
        <v/>
      </c>
      <c r="T103" s="124">
        <f t="shared" si="27"/>
        <v>1</v>
      </c>
      <c r="U103" s="124" t="e">
        <f>IF(Balance!$H$12=Data!$B$4,W103,V103)</f>
        <v>#N/A</v>
      </c>
      <c r="V103" s="124" t="e">
        <f t="shared" si="23"/>
        <v>#N/A</v>
      </c>
      <c r="W103" s="124" t="e">
        <f t="shared" si="24"/>
        <v>#N/A</v>
      </c>
      <c r="X103" s="124">
        <f t="shared" si="25"/>
        <v>0</v>
      </c>
      <c r="Y103" s="136" t="e">
        <f>VLOOKUP(J103,Ökobaudat!$D$5:$CK$165,Ökobaudat!$AM$1,0)/$Y$7</f>
        <v>#N/A</v>
      </c>
      <c r="Z103" s="136" t="e">
        <f>VLOOKUP(J103,Ökobaudat!$D$5:$CK$165,Ökobaudat!$AN$1,0)/$Y$7</f>
        <v>#N/A</v>
      </c>
      <c r="AA103" s="136" t="e">
        <f>VLOOKUP(J103,Ökobaudat!$D$5:$CK$165,Ökobaudat!$AP$1,0)/$Y$7</f>
        <v>#N/A</v>
      </c>
      <c r="AB103" s="136" t="e">
        <f>VLOOKUP(J103,Ökobaudat!$D$5:$CK$165,Ökobaudat!$AQ$1,0)/$Y$7</f>
        <v>#N/A</v>
      </c>
      <c r="AC103" s="136" t="str">
        <f>IF(ISNUMBER(VLOOKUP(J103,Ökobaudat!$D$5:$CK$165,Ökobaudat!$AF$1,0)),VLOOKUP(J103,Ökobaudat!$D$5:$CK$165,Ökobaudat!$AF$1,0),"")</f>
        <v/>
      </c>
      <c r="AD103" s="136" t="str">
        <f>IF(ISNUMBER(VLOOKUP(J103,Ökobaudat!$D$5:$CK$165,Ökobaudat!$BF$1,0)),VLOOKUP(J103,Ökobaudat!$D$5:$CK$165,Ökobaudat!$BF$1,0),"")</f>
        <v/>
      </c>
      <c r="AE103" s="136" t="str">
        <f>IF(ISTEXT(VLOOKUP(J103,Ökobaudat!$D$5:$CK$165,Ökobaudat!$BX$1,0)),VLOOKUP(J103,Ökobaudat!$D$5:$CK$165,Ökobaudat!$BX$1,0),"")</f>
        <v/>
      </c>
    </row>
    <row r="104" spans="2:31" ht="13.5" x14ac:dyDescent="0.2">
      <c r="B104" s="346">
        <f t="shared" si="16"/>
        <v>331</v>
      </c>
      <c r="C104" s="145" t="str">
        <f t="shared" si="18"/>
        <v>331-;  kg/m³;  W/(mK);  years</v>
      </c>
      <c r="D104" s="348" t="str">
        <f t="shared" si="21"/>
        <v>331</v>
      </c>
      <c r="E104" s="93"/>
      <c r="F104" s="142" t="e">
        <f t="shared" si="26"/>
        <v>#N/A</v>
      </c>
      <c r="G104" s="142" t="e">
        <f t="shared" si="22"/>
        <v>#N/A</v>
      </c>
      <c r="H104" s="94"/>
      <c r="I104" s="133"/>
      <c r="J104" s="133"/>
      <c r="K104" s="137" t="e">
        <f>VLOOKUP(J104,Ökobaudat!$D$5:$CK$165,Ökobaudat!$T$1,0)</f>
        <v>#N/A</v>
      </c>
      <c r="L104" s="136" t="e">
        <f>VLOOKUP(J104,Ökobaudat!$D$5:$CK$165,Ökobaudat!$U$1,0)</f>
        <v>#N/A</v>
      </c>
      <c r="M104" s="93"/>
      <c r="N104" s="139" t="str">
        <f t="shared" si="20"/>
        <v/>
      </c>
      <c r="O104" s="135" t="str">
        <f>IF(ISNUMBER(VLOOKUP(J104,Ökobaudat!$D$5:$CK$165,Ökobaudat!$AA$1,0)),VLOOKUP(J104,Ökobaudat!$D$5:$CK$165,Ökobaudat!$AA$1,0),"")</f>
        <v/>
      </c>
      <c r="P104" s="93"/>
      <c r="Q104" s="135" t="str">
        <f>IF(ISNUMBER(VLOOKUP(J104,Ökobaudat!$D$5:$CK$160,Ökobaudat!$Z$1,0)),VLOOKUP(J104,Ökobaudat!$D$5:$CK$160,Ökobaudat!$Z$1,0),"")</f>
        <v/>
      </c>
      <c r="R104" s="138"/>
      <c r="S104" s="140" t="str">
        <f t="shared" si="17"/>
        <v/>
      </c>
      <c r="T104" s="124">
        <f t="shared" si="27"/>
        <v>1</v>
      </c>
      <c r="U104" s="124" t="e">
        <f>IF(Balance!$H$12=Data!$B$4,W104,V104)</f>
        <v>#N/A</v>
      </c>
      <c r="V104" s="124" t="e">
        <f t="shared" si="23"/>
        <v>#N/A</v>
      </c>
      <c r="W104" s="124" t="e">
        <f t="shared" si="24"/>
        <v>#N/A</v>
      </c>
      <c r="X104" s="124">
        <f t="shared" si="25"/>
        <v>0</v>
      </c>
      <c r="Y104" s="136" t="e">
        <f>VLOOKUP(J104,Ökobaudat!$D$5:$CK$165,Ökobaudat!$AM$1,0)/$Y$7</f>
        <v>#N/A</v>
      </c>
      <c r="Z104" s="136" t="e">
        <f>VLOOKUP(J104,Ökobaudat!$D$5:$CK$165,Ökobaudat!$AN$1,0)/$Y$7</f>
        <v>#N/A</v>
      </c>
      <c r="AA104" s="136" t="e">
        <f>VLOOKUP(J104,Ökobaudat!$D$5:$CK$165,Ökobaudat!$AP$1,0)/$Y$7</f>
        <v>#N/A</v>
      </c>
      <c r="AB104" s="136" t="e">
        <f>VLOOKUP(J104,Ökobaudat!$D$5:$CK$165,Ökobaudat!$AQ$1,0)/$Y$7</f>
        <v>#N/A</v>
      </c>
      <c r="AC104" s="136" t="str">
        <f>IF(ISNUMBER(VLOOKUP(J104,Ökobaudat!$D$5:$CK$165,Ökobaudat!$AF$1,0)),VLOOKUP(J104,Ökobaudat!$D$5:$CK$165,Ökobaudat!$AF$1,0),"")</f>
        <v/>
      </c>
      <c r="AD104" s="136" t="str">
        <f>IF(ISNUMBER(VLOOKUP(J104,Ökobaudat!$D$5:$CK$165,Ökobaudat!$BF$1,0)),VLOOKUP(J104,Ökobaudat!$D$5:$CK$165,Ökobaudat!$BF$1,0),"")</f>
        <v/>
      </c>
      <c r="AE104" s="136" t="str">
        <f>IF(ISTEXT(VLOOKUP(J104,Ökobaudat!$D$5:$CK$165,Ökobaudat!$BX$1,0)),VLOOKUP(J104,Ökobaudat!$D$5:$CK$165,Ökobaudat!$BX$1,0),"")</f>
        <v/>
      </c>
    </row>
    <row r="105" spans="2:31" ht="13.5" x14ac:dyDescent="0.2">
      <c r="B105" s="346">
        <f t="shared" si="16"/>
        <v>332</v>
      </c>
      <c r="C105" s="145" t="str">
        <f t="shared" si="18"/>
        <v>332-;  kg/m³;  W/(mK);  years</v>
      </c>
      <c r="D105" s="348" t="str">
        <f t="shared" si="21"/>
        <v>332</v>
      </c>
      <c r="E105" s="93"/>
      <c r="F105" s="142" t="e">
        <f t="shared" si="26"/>
        <v>#N/A</v>
      </c>
      <c r="G105" s="142" t="e">
        <f t="shared" si="22"/>
        <v>#N/A</v>
      </c>
      <c r="H105" s="94"/>
      <c r="I105" s="133"/>
      <c r="J105" s="133"/>
      <c r="K105" s="137" t="e">
        <f>VLOOKUP(J105,Ökobaudat!$D$5:$CK$165,Ökobaudat!$T$1,0)</f>
        <v>#N/A</v>
      </c>
      <c r="L105" s="136" t="e">
        <f>VLOOKUP(J105,Ökobaudat!$D$5:$CK$165,Ökobaudat!$U$1,0)</f>
        <v>#N/A</v>
      </c>
      <c r="M105" s="93"/>
      <c r="N105" s="139" t="str">
        <f t="shared" si="20"/>
        <v/>
      </c>
      <c r="O105" s="135" t="str">
        <f>IF(ISNUMBER(VLOOKUP(J105,Ökobaudat!$D$5:$CK$165,Ökobaudat!$AA$1,0)),VLOOKUP(J105,Ökobaudat!$D$5:$CK$165,Ökobaudat!$AA$1,0),"")</f>
        <v/>
      </c>
      <c r="P105" s="93"/>
      <c r="Q105" s="135" t="str">
        <f>IF(ISNUMBER(VLOOKUP(J105,Ökobaudat!$D$5:$CK$160,Ökobaudat!$Z$1,0)),VLOOKUP(J105,Ökobaudat!$D$5:$CK$160,Ökobaudat!$Z$1,0),"")</f>
        <v/>
      </c>
      <c r="R105" s="138"/>
      <c r="S105" s="140" t="str">
        <f t="shared" si="17"/>
        <v/>
      </c>
      <c r="T105" s="124">
        <f t="shared" si="27"/>
        <v>1</v>
      </c>
      <c r="U105" s="124" t="e">
        <f>IF(Balance!$H$12=Data!$B$4,W105,V105)</f>
        <v>#N/A</v>
      </c>
      <c r="V105" s="124" t="e">
        <f t="shared" si="23"/>
        <v>#N/A</v>
      </c>
      <c r="W105" s="124" t="e">
        <f t="shared" si="24"/>
        <v>#N/A</v>
      </c>
      <c r="X105" s="124">
        <f t="shared" si="25"/>
        <v>0</v>
      </c>
      <c r="Y105" s="136" t="e">
        <f>VLOOKUP(J105,Ökobaudat!$D$5:$CK$165,Ökobaudat!$AM$1,0)/$Y$7</f>
        <v>#N/A</v>
      </c>
      <c r="Z105" s="136" t="e">
        <f>VLOOKUP(J105,Ökobaudat!$D$5:$CK$165,Ökobaudat!$AN$1,0)/$Y$7</f>
        <v>#N/A</v>
      </c>
      <c r="AA105" s="136" t="e">
        <f>VLOOKUP(J105,Ökobaudat!$D$5:$CK$165,Ökobaudat!$AP$1,0)/$Y$7</f>
        <v>#N/A</v>
      </c>
      <c r="AB105" s="136" t="e">
        <f>VLOOKUP(J105,Ökobaudat!$D$5:$CK$165,Ökobaudat!$AQ$1,0)/$Y$7</f>
        <v>#N/A</v>
      </c>
      <c r="AC105" s="136" t="str">
        <f>IF(ISNUMBER(VLOOKUP(J105,Ökobaudat!$D$5:$CK$165,Ökobaudat!$AF$1,0)),VLOOKUP(J105,Ökobaudat!$D$5:$CK$165,Ökobaudat!$AF$1,0),"")</f>
        <v/>
      </c>
      <c r="AD105" s="136" t="str">
        <f>IF(ISNUMBER(VLOOKUP(J105,Ökobaudat!$D$5:$CK$165,Ökobaudat!$BF$1,0)),VLOOKUP(J105,Ökobaudat!$D$5:$CK$165,Ökobaudat!$BF$1,0),"")</f>
        <v/>
      </c>
      <c r="AE105" s="136" t="str">
        <f>IF(ISTEXT(VLOOKUP(J105,Ökobaudat!$D$5:$CK$165,Ökobaudat!$BX$1,0)),VLOOKUP(J105,Ökobaudat!$D$5:$CK$165,Ökobaudat!$BX$1,0),"")</f>
        <v/>
      </c>
    </row>
    <row r="106" spans="2:31" ht="13.5" x14ac:dyDescent="0.2">
      <c r="B106" s="346">
        <f t="shared" si="16"/>
        <v>333</v>
      </c>
      <c r="C106" s="145" t="str">
        <f t="shared" si="18"/>
        <v>333-;  kg/m³;  W/(mK);  years</v>
      </c>
      <c r="D106" s="348" t="str">
        <f t="shared" si="21"/>
        <v>333</v>
      </c>
      <c r="E106" s="93"/>
      <c r="F106" s="142" t="e">
        <f t="shared" si="26"/>
        <v>#N/A</v>
      </c>
      <c r="G106" s="142" t="e">
        <f t="shared" si="22"/>
        <v>#N/A</v>
      </c>
      <c r="H106" s="94"/>
      <c r="I106" s="133"/>
      <c r="J106" s="133"/>
      <c r="K106" s="137" t="e">
        <f>VLOOKUP(J106,Ökobaudat!$D$5:$CK$165,Ökobaudat!$T$1,0)</f>
        <v>#N/A</v>
      </c>
      <c r="L106" s="136" t="e">
        <f>VLOOKUP(J106,Ökobaudat!$D$5:$CK$165,Ökobaudat!$U$1,0)</f>
        <v>#N/A</v>
      </c>
      <c r="M106" s="93"/>
      <c r="N106" s="139" t="str">
        <f t="shared" si="20"/>
        <v/>
      </c>
      <c r="O106" s="135" t="str">
        <f>IF(ISNUMBER(VLOOKUP(J106,Ökobaudat!$D$5:$CK$165,Ökobaudat!$AA$1,0)),VLOOKUP(J106,Ökobaudat!$D$5:$CK$165,Ökobaudat!$AA$1,0),"")</f>
        <v/>
      </c>
      <c r="P106" s="93"/>
      <c r="Q106" s="135" t="str">
        <f>IF(ISNUMBER(VLOOKUP(J106,Ökobaudat!$D$5:$CK$160,Ökobaudat!$Z$1,0)),VLOOKUP(J106,Ökobaudat!$D$5:$CK$160,Ökobaudat!$Z$1,0),"")</f>
        <v/>
      </c>
      <c r="R106" s="138"/>
      <c r="S106" s="140" t="str">
        <f t="shared" si="17"/>
        <v/>
      </c>
      <c r="T106" s="124">
        <f t="shared" si="27"/>
        <v>1</v>
      </c>
      <c r="U106" s="124" t="e">
        <f>IF(Balance!$H$12=Data!$B$4,W106,V106)</f>
        <v>#N/A</v>
      </c>
      <c r="V106" s="124" t="e">
        <f t="shared" si="23"/>
        <v>#N/A</v>
      </c>
      <c r="W106" s="124" t="e">
        <f t="shared" si="24"/>
        <v>#N/A</v>
      </c>
      <c r="X106" s="124">
        <f t="shared" si="25"/>
        <v>0</v>
      </c>
      <c r="Y106" s="136" t="e">
        <f>VLOOKUP(J106,Ökobaudat!$D$5:$CK$165,Ökobaudat!$AM$1,0)/$Y$7</f>
        <v>#N/A</v>
      </c>
      <c r="Z106" s="136" t="e">
        <f>VLOOKUP(J106,Ökobaudat!$D$5:$CK$165,Ökobaudat!$AN$1,0)/$Y$7</f>
        <v>#N/A</v>
      </c>
      <c r="AA106" s="136" t="e">
        <f>VLOOKUP(J106,Ökobaudat!$D$5:$CK$165,Ökobaudat!$AP$1,0)/$Y$7</f>
        <v>#N/A</v>
      </c>
      <c r="AB106" s="136" t="e">
        <f>VLOOKUP(J106,Ökobaudat!$D$5:$CK$165,Ökobaudat!$AQ$1,0)/$Y$7</f>
        <v>#N/A</v>
      </c>
      <c r="AC106" s="136" t="str">
        <f>IF(ISNUMBER(VLOOKUP(J106,Ökobaudat!$D$5:$CK$165,Ökobaudat!$AF$1,0)),VLOOKUP(J106,Ökobaudat!$D$5:$CK$165,Ökobaudat!$AF$1,0),"")</f>
        <v/>
      </c>
      <c r="AD106" s="136" t="str">
        <f>IF(ISNUMBER(VLOOKUP(J106,Ökobaudat!$D$5:$CK$165,Ökobaudat!$BF$1,0)),VLOOKUP(J106,Ökobaudat!$D$5:$CK$165,Ökobaudat!$BF$1,0),"")</f>
        <v/>
      </c>
      <c r="AE106" s="136" t="str">
        <f>IF(ISTEXT(VLOOKUP(J106,Ökobaudat!$D$5:$CK$165,Ökobaudat!$BX$1,0)),VLOOKUP(J106,Ökobaudat!$D$5:$CK$165,Ökobaudat!$BX$1,0),"")</f>
        <v/>
      </c>
    </row>
    <row r="107" spans="2:31" ht="13.5" x14ac:dyDescent="0.2">
      <c r="B107" s="346">
        <f t="shared" si="16"/>
        <v>334</v>
      </c>
      <c r="C107" s="145" t="str">
        <f t="shared" ref="C107:C110" si="28">B107&amp;"-"&amp;IF(ISTEXT(I107),I107,J107&amp;"; "&amp;S107&amp;" kg/m³; "&amp;E107&amp;" W/(mK); "&amp;H107&amp;" years")</f>
        <v>334-;  kg/m³;  W/(mK);  years</v>
      </c>
      <c r="D107" s="348" t="str">
        <f t="shared" si="21"/>
        <v>334</v>
      </c>
      <c r="E107" s="93"/>
      <c r="F107" s="142" t="e">
        <f t="shared" si="26"/>
        <v>#N/A</v>
      </c>
      <c r="G107" s="142" t="e">
        <f t="shared" si="22"/>
        <v>#N/A</v>
      </c>
      <c r="H107" s="94"/>
      <c r="I107" s="133"/>
      <c r="J107" s="133"/>
      <c r="K107" s="137" t="e">
        <f>VLOOKUP(J107,Ökobaudat!$D$5:$CK$165,Ökobaudat!$T$1,0)</f>
        <v>#N/A</v>
      </c>
      <c r="L107" s="136" t="e">
        <f>VLOOKUP(J107,Ökobaudat!$D$5:$CK$165,Ökobaudat!$U$1,0)</f>
        <v>#N/A</v>
      </c>
      <c r="M107" s="93"/>
      <c r="N107" s="139" t="str">
        <f t="shared" ref="N107:N110" si="29">IF(ISNUMBER(M107),M107/1000,IF(ISNUMBER(P107),P107/S107,""))</f>
        <v/>
      </c>
      <c r="O107" s="135" t="str">
        <f>IF(ISNUMBER(VLOOKUP(J107,Ökobaudat!$D$5:$CK$165,Ökobaudat!$AA$1,0)),VLOOKUP(J107,Ökobaudat!$D$5:$CK$165,Ökobaudat!$AA$1,0),"")</f>
        <v/>
      </c>
      <c r="P107" s="93"/>
      <c r="Q107" s="135" t="str">
        <f>IF(ISNUMBER(VLOOKUP(J107,Ökobaudat!$D$5:$CK$160,Ökobaudat!$Z$1,0)),VLOOKUP(J107,Ökobaudat!$D$5:$CK$160,Ökobaudat!$Z$1,0),"")</f>
        <v/>
      </c>
      <c r="R107" s="138"/>
      <c r="S107" s="140" t="str">
        <f t="shared" si="17"/>
        <v/>
      </c>
      <c r="T107" s="124">
        <f t="shared" si="27"/>
        <v>1</v>
      </c>
      <c r="U107" s="124" t="e">
        <f>IF(Balance!$H$12=Data!$B$4,W107,V107)</f>
        <v>#N/A</v>
      </c>
      <c r="V107" s="124" t="e">
        <f t="shared" si="23"/>
        <v>#N/A</v>
      </c>
      <c r="W107" s="124" t="e">
        <f t="shared" si="24"/>
        <v>#N/A</v>
      </c>
      <c r="X107" s="124">
        <f t="shared" si="25"/>
        <v>0</v>
      </c>
      <c r="Y107" s="136" t="e">
        <f>VLOOKUP(J107,Ökobaudat!$D$5:$CK$165,Ökobaudat!$AM$1,0)/$Y$7</f>
        <v>#N/A</v>
      </c>
      <c r="Z107" s="136" t="e">
        <f>VLOOKUP(J107,Ökobaudat!$D$5:$CK$165,Ökobaudat!$AN$1,0)/$Y$7</f>
        <v>#N/A</v>
      </c>
      <c r="AA107" s="136" t="e">
        <f>VLOOKUP(J107,Ökobaudat!$D$5:$CK$165,Ökobaudat!$AP$1,0)/$Y$7</f>
        <v>#N/A</v>
      </c>
      <c r="AB107" s="136" t="e">
        <f>VLOOKUP(J107,Ökobaudat!$D$5:$CK$165,Ökobaudat!$AQ$1,0)/$Y$7</f>
        <v>#N/A</v>
      </c>
      <c r="AC107" s="136" t="str">
        <f>IF(ISNUMBER(VLOOKUP(J107,Ökobaudat!$D$5:$CK$165,Ökobaudat!$AF$1,0)),VLOOKUP(J107,Ökobaudat!$D$5:$CK$165,Ökobaudat!$AF$1,0),"")</f>
        <v/>
      </c>
      <c r="AD107" s="136" t="str">
        <f>IF(ISNUMBER(VLOOKUP(J107,Ökobaudat!$D$5:$CK$165,Ökobaudat!$BF$1,0)),VLOOKUP(J107,Ökobaudat!$D$5:$CK$165,Ökobaudat!$BF$1,0),"")</f>
        <v/>
      </c>
      <c r="AE107" s="136" t="str">
        <f>IF(ISTEXT(VLOOKUP(J107,Ökobaudat!$D$5:$CK$165,Ökobaudat!$BX$1,0)),VLOOKUP(J107,Ökobaudat!$D$5:$CK$165,Ökobaudat!$BX$1,0),"")</f>
        <v/>
      </c>
    </row>
    <row r="108" spans="2:31" ht="13.5" x14ac:dyDescent="0.2">
      <c r="B108" s="346">
        <f t="shared" ref="B108:B110" si="30">B107+1</f>
        <v>335</v>
      </c>
      <c r="C108" s="145" t="str">
        <f t="shared" si="28"/>
        <v>335-;  kg/m³;  W/(mK);  years</v>
      </c>
      <c r="D108" s="348" t="str">
        <f t="shared" si="21"/>
        <v>335</v>
      </c>
      <c r="E108" s="93"/>
      <c r="F108" s="142" t="e">
        <f t="shared" si="26"/>
        <v>#N/A</v>
      </c>
      <c r="G108" s="142" t="e">
        <f t="shared" si="22"/>
        <v>#N/A</v>
      </c>
      <c r="H108" s="94"/>
      <c r="I108" s="133"/>
      <c r="J108" s="133"/>
      <c r="K108" s="137" t="e">
        <f>VLOOKUP(J108,Ökobaudat!$D$5:$CK$165,Ökobaudat!$T$1,0)</f>
        <v>#N/A</v>
      </c>
      <c r="L108" s="136" t="e">
        <f>VLOOKUP(J108,Ökobaudat!$D$5:$CK$165,Ökobaudat!$U$1,0)</f>
        <v>#N/A</v>
      </c>
      <c r="M108" s="93"/>
      <c r="N108" s="139" t="str">
        <f t="shared" si="29"/>
        <v/>
      </c>
      <c r="O108" s="135" t="str">
        <f>IF(ISNUMBER(VLOOKUP(J108,Ökobaudat!$D$5:$CK$165,Ökobaudat!$AA$1,0)),VLOOKUP(J108,Ökobaudat!$D$5:$CK$165,Ökobaudat!$AA$1,0),"")</f>
        <v/>
      </c>
      <c r="P108" s="93"/>
      <c r="Q108" s="135" t="str">
        <f>IF(ISNUMBER(VLOOKUP(J108,Ökobaudat!$D$5:$CK$160,Ökobaudat!$Z$1,0)),VLOOKUP(J108,Ökobaudat!$D$5:$CK$160,Ökobaudat!$Z$1,0),"")</f>
        <v/>
      </c>
      <c r="R108" s="138"/>
      <c r="S108" s="140" t="str">
        <f t="shared" si="17"/>
        <v/>
      </c>
      <c r="T108" s="124">
        <f t="shared" si="27"/>
        <v>1</v>
      </c>
      <c r="U108" s="124" t="e">
        <f>IF(Balance!$H$12=Data!$B$4,W108,V108)</f>
        <v>#N/A</v>
      </c>
      <c r="V108" s="124" t="e">
        <f t="shared" si="23"/>
        <v>#N/A</v>
      </c>
      <c r="W108" s="124" t="e">
        <f t="shared" si="24"/>
        <v>#N/A</v>
      </c>
      <c r="X108" s="124">
        <f t="shared" si="25"/>
        <v>0</v>
      </c>
      <c r="Y108" s="136" t="e">
        <f>VLOOKUP(J108,Ökobaudat!$D$5:$CK$165,Ökobaudat!$AM$1,0)/$Y$7</f>
        <v>#N/A</v>
      </c>
      <c r="Z108" s="136" t="e">
        <f>VLOOKUP(J108,Ökobaudat!$D$5:$CK$165,Ökobaudat!$AN$1,0)/$Y$7</f>
        <v>#N/A</v>
      </c>
      <c r="AA108" s="136" t="e">
        <f>VLOOKUP(J108,Ökobaudat!$D$5:$CK$165,Ökobaudat!$AP$1,0)/$Y$7</f>
        <v>#N/A</v>
      </c>
      <c r="AB108" s="136" t="e">
        <f>VLOOKUP(J108,Ökobaudat!$D$5:$CK$165,Ökobaudat!$AQ$1,0)/$Y$7</f>
        <v>#N/A</v>
      </c>
      <c r="AC108" s="136" t="str">
        <f>IF(ISNUMBER(VLOOKUP(J108,Ökobaudat!$D$5:$CK$165,Ökobaudat!$AF$1,0)),VLOOKUP(J108,Ökobaudat!$D$5:$CK$165,Ökobaudat!$AF$1,0),"")</f>
        <v/>
      </c>
      <c r="AD108" s="136" t="str">
        <f>IF(ISNUMBER(VLOOKUP(J108,Ökobaudat!$D$5:$CK$165,Ökobaudat!$BF$1,0)),VLOOKUP(J108,Ökobaudat!$D$5:$CK$165,Ökobaudat!$BF$1,0),"")</f>
        <v/>
      </c>
      <c r="AE108" s="136" t="str">
        <f>IF(ISTEXT(VLOOKUP(J108,Ökobaudat!$D$5:$CK$165,Ökobaudat!$BX$1,0)),VLOOKUP(J108,Ökobaudat!$D$5:$CK$165,Ökobaudat!$BX$1,0),"")</f>
        <v/>
      </c>
    </row>
    <row r="109" spans="2:31" ht="13.5" x14ac:dyDescent="0.2">
      <c r="B109" s="346">
        <f t="shared" si="30"/>
        <v>336</v>
      </c>
      <c r="C109" s="145" t="str">
        <f t="shared" si="28"/>
        <v>336-;  kg/m³;  W/(mK);  years</v>
      </c>
      <c r="D109" s="348" t="str">
        <f t="shared" si="21"/>
        <v>336</v>
      </c>
      <c r="E109" s="93"/>
      <c r="F109" s="142" t="e">
        <f t="shared" si="26"/>
        <v>#N/A</v>
      </c>
      <c r="G109" s="142" t="e">
        <f t="shared" si="22"/>
        <v>#N/A</v>
      </c>
      <c r="H109" s="94"/>
      <c r="I109" s="133"/>
      <c r="J109" s="133"/>
      <c r="K109" s="137" t="e">
        <f>VLOOKUP(J109,Ökobaudat!$D$5:$CK$165,Ökobaudat!$T$1,0)</f>
        <v>#N/A</v>
      </c>
      <c r="L109" s="136" t="e">
        <f>VLOOKUP(J109,Ökobaudat!$D$5:$CK$165,Ökobaudat!$U$1,0)</f>
        <v>#N/A</v>
      </c>
      <c r="M109" s="93"/>
      <c r="N109" s="139" t="str">
        <f t="shared" si="29"/>
        <v/>
      </c>
      <c r="O109" s="135" t="str">
        <f>IF(ISNUMBER(VLOOKUP(J109,Ökobaudat!$D$5:$CK$165,Ökobaudat!$AA$1,0)),VLOOKUP(J109,Ökobaudat!$D$5:$CK$165,Ökobaudat!$AA$1,0),"")</f>
        <v/>
      </c>
      <c r="P109" s="93"/>
      <c r="Q109" s="135" t="str">
        <f>IF(ISNUMBER(VLOOKUP(J109,Ökobaudat!$D$5:$CK$160,Ökobaudat!$Z$1,0)),VLOOKUP(J109,Ökobaudat!$D$5:$CK$160,Ökobaudat!$Z$1,0),"")</f>
        <v/>
      </c>
      <c r="R109" s="138"/>
      <c r="S109" s="140" t="str">
        <f t="shared" si="17"/>
        <v/>
      </c>
      <c r="T109" s="124">
        <f t="shared" si="27"/>
        <v>1</v>
      </c>
      <c r="U109" s="124" t="e">
        <f>IF(Balance!$H$12=Data!$B$4,W109,V109)</f>
        <v>#N/A</v>
      </c>
      <c r="V109" s="124" t="e">
        <f t="shared" si="23"/>
        <v>#N/A</v>
      </c>
      <c r="W109" s="124" t="e">
        <f t="shared" si="24"/>
        <v>#N/A</v>
      </c>
      <c r="X109" s="124">
        <f t="shared" si="25"/>
        <v>0</v>
      </c>
      <c r="Y109" s="136" t="e">
        <f>VLOOKUP(J109,Ökobaudat!$D$5:$CK$165,Ökobaudat!$AM$1,0)/$Y$7</f>
        <v>#N/A</v>
      </c>
      <c r="Z109" s="136" t="e">
        <f>VLOOKUP(J109,Ökobaudat!$D$5:$CK$165,Ökobaudat!$AN$1,0)/$Y$7</f>
        <v>#N/A</v>
      </c>
      <c r="AA109" s="136" t="e">
        <f>VLOOKUP(J109,Ökobaudat!$D$5:$CK$165,Ökobaudat!$AP$1,0)/$Y$7</f>
        <v>#N/A</v>
      </c>
      <c r="AB109" s="136" t="e">
        <f>VLOOKUP(J109,Ökobaudat!$D$5:$CK$165,Ökobaudat!$AQ$1,0)/$Y$7</f>
        <v>#N/A</v>
      </c>
      <c r="AC109" s="136" t="str">
        <f>IF(ISNUMBER(VLOOKUP(J109,Ökobaudat!$D$5:$CK$165,Ökobaudat!$AF$1,0)),VLOOKUP(J109,Ökobaudat!$D$5:$CK$165,Ökobaudat!$AF$1,0),"")</f>
        <v/>
      </c>
      <c r="AD109" s="136" t="str">
        <f>IF(ISNUMBER(VLOOKUP(J109,Ökobaudat!$D$5:$CK$165,Ökobaudat!$BF$1,0)),VLOOKUP(J109,Ökobaudat!$D$5:$CK$165,Ökobaudat!$BF$1,0),"")</f>
        <v/>
      </c>
      <c r="AE109" s="136" t="str">
        <f>IF(ISTEXT(VLOOKUP(J109,Ökobaudat!$D$5:$CK$165,Ökobaudat!$BX$1,0)),VLOOKUP(J109,Ökobaudat!$D$5:$CK$165,Ökobaudat!$BX$1,0),"")</f>
        <v/>
      </c>
    </row>
    <row r="110" spans="2:31" ht="13.5" x14ac:dyDescent="0.2">
      <c r="B110" s="346">
        <f t="shared" si="30"/>
        <v>337</v>
      </c>
      <c r="C110" s="145" t="str">
        <f t="shared" si="28"/>
        <v>337-;  kg/m³;  W/(mK);  years</v>
      </c>
      <c r="D110" s="348" t="str">
        <f t="shared" si="21"/>
        <v>337</v>
      </c>
      <c r="E110" s="93"/>
      <c r="F110" s="142" t="e">
        <f t="shared" si="26"/>
        <v>#N/A</v>
      </c>
      <c r="G110" s="142" t="e">
        <f t="shared" si="22"/>
        <v>#N/A</v>
      </c>
      <c r="H110" s="94"/>
      <c r="I110" s="133"/>
      <c r="J110" s="133"/>
      <c r="K110" s="137" t="e">
        <f>VLOOKUP(J110,Ökobaudat!$D$5:$CK$165,Ökobaudat!$T$1,0)</f>
        <v>#N/A</v>
      </c>
      <c r="L110" s="136" t="e">
        <f>VLOOKUP(J110,Ökobaudat!$D$5:$CK$165,Ökobaudat!$U$1,0)</f>
        <v>#N/A</v>
      </c>
      <c r="M110" s="93"/>
      <c r="N110" s="139" t="str">
        <f t="shared" si="29"/>
        <v/>
      </c>
      <c r="O110" s="135" t="str">
        <f>IF(ISNUMBER(VLOOKUP(J110,Ökobaudat!$D$5:$CK$165,Ökobaudat!$AA$1,0)),VLOOKUP(J110,Ökobaudat!$D$5:$CK$165,Ökobaudat!$AA$1,0),"")</f>
        <v/>
      </c>
      <c r="P110" s="93"/>
      <c r="Q110" s="135" t="str">
        <f>IF(ISNUMBER(VLOOKUP(J110,Ökobaudat!$D$5:$CK$160,Ökobaudat!$Z$1,0)),VLOOKUP(J110,Ökobaudat!$D$5:$CK$160,Ökobaudat!$Z$1,0),"")</f>
        <v/>
      </c>
      <c r="R110" s="138"/>
      <c r="S110" s="140" t="str">
        <f t="shared" si="17"/>
        <v/>
      </c>
      <c r="T110" s="124">
        <f t="shared" si="27"/>
        <v>1</v>
      </c>
      <c r="U110" s="124" t="e">
        <f>IF(Balance!$H$12=Data!$B$4,W110,V110)</f>
        <v>#N/A</v>
      </c>
      <c r="V110" s="124" t="e">
        <f t="shared" si="23"/>
        <v>#N/A</v>
      </c>
      <c r="W110" s="124" t="e">
        <f t="shared" si="24"/>
        <v>#N/A</v>
      </c>
      <c r="X110" s="124">
        <f t="shared" si="25"/>
        <v>0</v>
      </c>
      <c r="Y110" s="136" t="e">
        <f>VLOOKUP(J110,Ökobaudat!$D$5:$CK$165,Ökobaudat!$AM$1,0)/$Y$7</f>
        <v>#N/A</v>
      </c>
      <c r="Z110" s="136" t="e">
        <f>VLOOKUP(J110,Ökobaudat!$D$5:$CK$165,Ökobaudat!$AN$1,0)/$Y$7</f>
        <v>#N/A</v>
      </c>
      <c r="AA110" s="136" t="e">
        <f>VLOOKUP(J110,Ökobaudat!$D$5:$CK$165,Ökobaudat!$AP$1,0)/$Y$7</f>
        <v>#N/A</v>
      </c>
      <c r="AB110" s="136" t="e">
        <f>VLOOKUP(J110,Ökobaudat!$D$5:$CK$165,Ökobaudat!$AQ$1,0)/$Y$7</f>
        <v>#N/A</v>
      </c>
      <c r="AC110" s="136" t="str">
        <f>IF(ISNUMBER(VLOOKUP(J110,Ökobaudat!$D$5:$CK$165,Ökobaudat!$AF$1,0)),VLOOKUP(J110,Ökobaudat!$D$5:$CK$165,Ökobaudat!$AF$1,0),"")</f>
        <v/>
      </c>
      <c r="AD110" s="136" t="str">
        <f>IF(ISNUMBER(VLOOKUP(J110,Ökobaudat!$D$5:$CK$165,Ökobaudat!$BF$1,0)),VLOOKUP(J110,Ökobaudat!$D$5:$CK$165,Ökobaudat!$BF$1,0),"")</f>
        <v/>
      </c>
      <c r="AE110" s="136" t="str">
        <f>IF(ISTEXT(VLOOKUP(J110,Ökobaudat!$D$5:$CK$165,Ökobaudat!$BX$1,0)),VLOOKUP(J110,Ökobaudat!$D$5:$CK$165,Ökobaudat!$BX$1,0),"")</f>
        <v/>
      </c>
    </row>
    <row r="118" spans="3:3" collapsed="1" x14ac:dyDescent="0.2"/>
    <row r="119" spans="3:3" hidden="1" outlineLevel="1" x14ac:dyDescent="0.2">
      <c r="C119" s="129" t="str">
        <f>Ökobaudat!D5</f>
        <v>EPS-foam (grey) with radiation absorber</v>
      </c>
    </row>
    <row r="120" spans="3:3" hidden="1" outlineLevel="1" x14ac:dyDescent="0.2">
      <c r="C120" s="129" t="str">
        <f>Ökobaudat!D6</f>
        <v>Mineral wool (flat roof insulation)</v>
      </c>
    </row>
    <row r="121" spans="3:3" hidden="1" outlineLevel="1" x14ac:dyDescent="0.2">
      <c r="C121" s="129" t="str">
        <f>Ökobaudat!D7</f>
        <v>Mineral wool (pitched roof insulation)</v>
      </c>
    </row>
    <row r="122" spans="3:3" hidden="1" outlineLevel="1" x14ac:dyDescent="0.2">
      <c r="C122" s="129" t="str">
        <f>Ökobaudat!D8</f>
        <v>Wood fiber insulation - dry process (German average)</v>
      </c>
    </row>
    <row r="123" spans="3:3" hidden="1" outlineLevel="1" x14ac:dyDescent="0.2">
      <c r="C123" s="129" t="str">
        <f>Ökobaudat!D9</f>
        <v>Cellulose fibre blowing insulation material</v>
      </c>
    </row>
    <row r="124" spans="3:3" hidden="1" outlineLevel="1" x14ac:dyDescent="0.2">
      <c r="C124" s="129" t="str">
        <f>Ökobaudat!D10</f>
        <v>Phenolic resin foam</v>
      </c>
    </row>
    <row r="125" spans="3:3" hidden="1" outlineLevel="1" x14ac:dyDescent="0.2">
      <c r="C125" s="129" t="str">
        <f>Ökobaudat!D11</f>
        <v>FASBA e.V. Construction Straw</v>
      </c>
    </row>
    <row r="126" spans="3:3" hidden="1" outlineLevel="1" x14ac:dyDescent="0.2">
      <c r="C126" s="129" t="str">
        <f>Ökobaudat!D12</f>
        <v>Cellulose fibre blow-in insulation material</v>
      </c>
    </row>
    <row r="127" spans="3:3" hidden="1" outlineLevel="1" x14ac:dyDescent="0.2">
      <c r="C127" s="129" t="str">
        <f>Ökobaudat!D13</f>
        <v>Wood fibre insulation board (wet process)</v>
      </c>
    </row>
    <row r="128" spans="3:3" hidden="1" outlineLevel="1" x14ac:dyDescent="0.2">
      <c r="C128" s="129" t="str">
        <f>Ökobaudat!D14</f>
        <v>ArmaPET® Eco50</v>
      </c>
    </row>
    <row r="129" spans="3:3" hidden="1" outlineLevel="1" x14ac:dyDescent="0.2">
      <c r="C129" s="129" t="str">
        <f>Ökobaudat!D15</f>
        <v>PU insulation boards with 50 µm aluminium top layer</v>
      </c>
    </row>
    <row r="130" spans="3:3" hidden="1" outlineLevel="1" x14ac:dyDescent="0.2">
      <c r="C130" s="129" t="str">
        <f>Ökobaudat!D16</f>
        <v>PIR high-density foam</v>
      </c>
    </row>
    <row r="131" spans="3:3" hidden="1" outlineLevel="1" x14ac:dyDescent="0.2">
      <c r="C131" s="129" t="str">
        <f>Ökobaudat!D17</f>
        <v>Extruded polystyrene (XPS)</v>
      </c>
    </row>
    <row r="132" spans="3:3" hidden="1" outlineLevel="1" x14ac:dyDescent="0.2">
      <c r="C132" s="129" t="str">
        <f>Ökobaudat!D18</f>
        <v>FOAMGLAS® W+F and FOAMGLAS® T3+</v>
      </c>
    </row>
    <row r="133" spans="3:3" hidden="1" outlineLevel="1" x14ac:dyDescent="0.2">
      <c r="C133" s="129" t="str">
        <f>Ökobaudat!D19</f>
        <v>GLAPOR foamglass</v>
      </c>
    </row>
    <row r="134" spans="3:3" hidden="1" outlineLevel="1" x14ac:dyDescent="0.2">
      <c r="C134" s="129" t="str">
        <f>Ökobaudat!D20</f>
        <v>Wood fiber board</v>
      </c>
    </row>
    <row r="135" spans="3:3" hidden="1" outlineLevel="1" x14ac:dyDescent="0.2">
      <c r="C135" s="129" t="str">
        <f>Ökobaudat!D21</f>
        <v>BauderTHERMOFOL U / M</v>
      </c>
    </row>
    <row r="136" spans="3:3" hidden="1" outlineLevel="1" x14ac:dyDescent="0.2">
      <c r="C136" s="129" t="str">
        <f>Ökobaudat!D22</f>
        <v>Sand-lime brick 2022</v>
      </c>
    </row>
    <row r="137" spans="3:3" hidden="1" outlineLevel="1" x14ac:dyDescent="0.2">
      <c r="C137" s="129" t="str">
        <f>Ökobaudat!D23</f>
        <v>Aerated concrete P2 04 non-reinforced 2022</v>
      </c>
    </row>
    <row r="138" spans="3:3" hidden="1" outlineLevel="1" x14ac:dyDescent="0.2">
      <c r="C138" s="129" t="str">
        <f>Ökobaudat!D24</f>
        <v>Brick (filled with insulating material)</v>
      </c>
    </row>
    <row r="139" spans="3:3" hidden="1" outlineLevel="1" x14ac:dyDescent="0.2">
      <c r="C139" s="129" t="str">
        <f>Ökobaudat!D25</f>
        <v>Brick (unfilled)</v>
      </c>
    </row>
    <row r="140" spans="3:3" hidden="1" outlineLevel="1" x14ac:dyDescent="0.2">
      <c r="C140" s="129" t="str">
        <f>Ökobaudat!D26</f>
        <v>Adobe brick</v>
      </c>
    </row>
    <row r="141" spans="3:3" hidden="1" outlineLevel="1" x14ac:dyDescent="0.2">
      <c r="C141" s="129" t="str">
        <f>Ökobaudat!D27</f>
        <v>Concrete, class C 35/45</v>
      </c>
    </row>
    <row r="142" spans="3:3" hidden="1" outlineLevel="1" x14ac:dyDescent="0.2">
      <c r="C142" s="129" t="str">
        <f>Ökobaudat!D28</f>
        <v>Reinforcement steel</v>
      </c>
    </row>
    <row r="143" spans="3:3" hidden="1" outlineLevel="1" x14ac:dyDescent="0.2">
      <c r="C143" s="129" t="str">
        <f>Ökobaudat!D29</f>
        <v>UD_Steel reinforced concrete 100 kg steel</v>
      </c>
    </row>
    <row r="144" spans="3:3" hidden="1" outlineLevel="1" x14ac:dyDescent="0.2">
      <c r="C144" s="129" t="str">
        <f>Ökobaudat!D30</f>
        <v>Roofing tiles (including accessories)</v>
      </c>
    </row>
    <row r="145" spans="3:3" hidden="1" outlineLevel="1" x14ac:dyDescent="0.2">
      <c r="C145" s="129" t="str">
        <f>Ökobaudat!D31</f>
        <v>Cement screed</v>
      </c>
    </row>
    <row r="146" spans="3:3" hidden="1" outlineLevel="1" x14ac:dyDescent="0.2">
      <c r="C146" s="129">
        <f>Ökobaudat!D32</f>
        <v>0</v>
      </c>
    </row>
    <row r="147" spans="3:3" hidden="1" outlineLevel="1" x14ac:dyDescent="0.2">
      <c r="C147" s="129" t="str">
        <f>Ökobaudat!D33</f>
        <v>Gypsum fibreboard (thickness 0.01 m)</v>
      </c>
    </row>
    <row r="148" spans="3:3" hidden="1" outlineLevel="1" x14ac:dyDescent="0.2">
      <c r="C148" s="129" t="str">
        <f>Ökobaudat!D34</f>
        <v>Gypsum plaster board (impregnated, 12.5 mm)</v>
      </c>
    </row>
    <row r="149" spans="3:3" hidden="1" outlineLevel="1" x14ac:dyDescent="0.2">
      <c r="C149" s="129" t="str">
        <f>Ökobaudat!D35</f>
        <v>Adhesive for gypsum board</v>
      </c>
    </row>
    <row r="150" spans="3:3" hidden="1" outlineLevel="1" x14ac:dyDescent="0.2">
      <c r="C150" s="129" t="str">
        <f>Ökobaudat!D36</f>
        <v>Gypsum interior plaster</v>
      </c>
    </row>
    <row r="151" spans="3:3" hidden="1" outlineLevel="1" x14ac:dyDescent="0.2">
      <c r="C151" s="129" t="str">
        <f>Ökobaudat!D37</f>
        <v>Lime-cement plaster</v>
      </c>
    </row>
    <row r="152" spans="3:3" hidden="1" outlineLevel="1" x14ac:dyDescent="0.2">
      <c r="C152" s="129" t="str">
        <f>Ökobaudat!D38</f>
        <v>Clay plaster</v>
      </c>
    </row>
    <row r="153" spans="3:3" hidden="1" outlineLevel="1" x14ac:dyDescent="0.2">
      <c r="C153" s="129">
        <f>Ökobaudat!D39</f>
        <v>0</v>
      </c>
    </row>
    <row r="154" spans="3:3" hidden="1" outlineLevel="1" x14ac:dyDescent="0.2">
      <c r="C154" s="129" t="str">
        <f>Ökobaudat!D40</f>
        <v>Sawn spruce (12% moisture/10.7% H2O)</v>
      </c>
    </row>
    <row r="155" spans="3:3" hidden="1" outlineLevel="1" x14ac:dyDescent="0.2">
      <c r="C155" s="129" t="str">
        <f>Ökobaudat!D41</f>
        <v>Solid construction timber (generic, 15% moisture / 13% H2O content)</v>
      </c>
    </row>
    <row r="156" spans="3:3" hidden="1" outlineLevel="1" x14ac:dyDescent="0.2">
      <c r="C156" s="129" t="str">
        <f>Ökobaudat!D42</f>
        <v>CLT cross-laminated timber</v>
      </c>
    </row>
    <row r="157" spans="3:3" hidden="1" outlineLevel="1" x14ac:dyDescent="0.2">
      <c r="C157" s="129" t="str">
        <f>Ökobaudat!D43</f>
        <v>Glulam Softwood</v>
      </c>
    </row>
    <row r="158" spans="3:3" hidden="1" outlineLevel="1" x14ac:dyDescent="0.2">
      <c r="C158" s="129" t="str">
        <f>Ökobaudat!D44</f>
        <v>Oriented Strand Board (German average)</v>
      </c>
    </row>
    <row r="159" spans="3:3" hidden="1" outlineLevel="1" x14ac:dyDescent="0.2">
      <c r="C159" s="129" t="str">
        <f>Ökobaudat!D45</f>
        <v>Cement-bonded particleboard</v>
      </c>
    </row>
    <row r="160" spans="3:3" hidden="1" outlineLevel="1" x14ac:dyDescent="0.2">
      <c r="C160" s="129">
        <f>Ökobaudat!D46</f>
        <v>0</v>
      </c>
    </row>
    <row r="161" spans="3:3" hidden="1" outlineLevel="1" x14ac:dyDescent="0.2">
      <c r="C161" s="129">
        <f>Ökobaudat!D47</f>
        <v>0</v>
      </c>
    </row>
    <row r="162" spans="3:3" hidden="1" outlineLevel="1" x14ac:dyDescent="0.2">
      <c r="C162" s="129" t="str">
        <f>Ökobaudat!D48</f>
        <v>Window glass, single</v>
      </c>
    </row>
    <row r="163" spans="3:3" hidden="1" outlineLevel="1" x14ac:dyDescent="0.2">
      <c r="C163" s="129" t="str">
        <f>Ökobaudat!D49</f>
        <v>Insulated glazing, double pane</v>
      </c>
    </row>
    <row r="164" spans="3:3" hidden="1" outlineLevel="1" x14ac:dyDescent="0.2">
      <c r="C164" s="129" t="str">
        <f>Ökobaudat!D50</f>
        <v>Insulated glazing, triple pane</v>
      </c>
    </row>
    <row r="165" spans="3:3" hidden="1" outlineLevel="1" x14ac:dyDescent="0.2">
      <c r="C165" s="129" t="str">
        <f>Ökobaudat!D51</f>
        <v>Glass - Bundesverband Flachglas e.V. - Toughened safety glass</v>
      </c>
    </row>
    <row r="166" spans="3:3" hidden="1" outlineLevel="1" x14ac:dyDescent="0.2">
      <c r="C166" s="129" t="str">
        <f>Ökobaudat!D52</f>
        <v>Float glass  - Guardian - Float glass coated</v>
      </c>
    </row>
    <row r="167" spans="3:3" hidden="1" outlineLevel="1" x14ac:dyDescent="0.2">
      <c r="C167" s="129" t="str">
        <f>Ökobaudat!D53</f>
        <v>Float glass  - Guardian - Float glass uncoated</v>
      </c>
    </row>
    <row r="168" spans="3:3" hidden="1" outlineLevel="1" x14ac:dyDescent="0.2">
      <c r="C168" s="129">
        <f>Ökobaudat!D54</f>
        <v>0</v>
      </c>
    </row>
    <row r="169" spans="3:3" hidden="1" outlineLevel="1" x14ac:dyDescent="0.2">
      <c r="C169" s="129" t="str">
        <f>Ökobaudat!D55</f>
        <v>Window sash PVC-U</v>
      </c>
    </row>
    <row r="170" spans="3:3" hidden="1" outlineLevel="1" x14ac:dyDescent="0.2">
      <c r="C170" s="129" t="str">
        <f>Ökobaudat!D56</f>
        <v>Window frame PVC-U</v>
      </c>
    </row>
    <row r="171" spans="3:3" hidden="1" outlineLevel="1" x14ac:dyDescent="0.2">
      <c r="C171" s="129" t="str">
        <f>Ökobaudat!D57</f>
        <v>Cable duct PVC, rigid</v>
      </c>
    </row>
    <row r="172" spans="3:3" hidden="1" outlineLevel="1" x14ac:dyDescent="0.2">
      <c r="C172" s="129" t="str">
        <f>Ökobaudat!D58</f>
        <v>Polyester resin laminated part (GFRP, 30% glass fibres)</v>
      </c>
    </row>
    <row r="173" spans="3:3" hidden="1" outlineLevel="1" x14ac:dyDescent="0.2">
      <c r="C173" s="129" t="str">
        <f>Ökobaudat!D59</f>
        <v>Nylon part (PA 6.6)</v>
      </c>
    </row>
    <row r="174" spans="3:3" hidden="1" outlineLevel="1" x14ac:dyDescent="0.2">
      <c r="C174" s="129" t="str">
        <f>Ökobaudat!D60</f>
        <v>Plastic profile EPDM</v>
      </c>
    </row>
    <row r="175" spans="3:3" hidden="1" outlineLevel="1" x14ac:dyDescent="0.2">
      <c r="C175" s="129" t="str">
        <f>Ökobaudat!D61</f>
        <v>Kältekautschuk Plus S3 sheet</v>
      </c>
    </row>
    <row r="176" spans="3:3" hidden="1" outlineLevel="1" x14ac:dyDescent="0.2">
      <c r="C176" s="129" t="str">
        <f>Ökobaudat!D62</f>
        <v>Silicone sealing compound</v>
      </c>
    </row>
    <row r="177" spans="3:3" hidden="1" outlineLevel="1" x14ac:dyDescent="0.2">
      <c r="C177" s="129" t="str">
        <f>Ökobaudat!D63</f>
        <v>Steel section</v>
      </c>
    </row>
    <row r="178" spans="3:3" hidden="1" outlineLevel="1" x14ac:dyDescent="0.2">
      <c r="C178" s="129" t="str">
        <f>Ökobaudat!D64</f>
        <v>Aluminium profile coated</v>
      </c>
    </row>
    <row r="179" spans="3:3" hidden="1" outlineLevel="1" x14ac:dyDescent="0.2">
      <c r="C179" s="129" t="str">
        <f>Ökobaudat!D65</f>
        <v>Schüco AWS 90.SI+ frame profile for windows without triple glazing</v>
      </c>
    </row>
    <row r="180" spans="3:3" hidden="1" outlineLevel="1" x14ac:dyDescent="0.2">
      <c r="C180" s="129" t="str">
        <f>Ökobaudat!D66</f>
        <v>Window sash (spruce)</v>
      </c>
    </row>
    <row r="181" spans="3:3" hidden="1" outlineLevel="1" x14ac:dyDescent="0.2">
      <c r="C181" s="129" t="str">
        <f>Ökobaudat!D67</f>
        <v>Window frame (spruce)</v>
      </c>
    </row>
    <row r="182" spans="3:3" hidden="1" outlineLevel="1" x14ac:dyDescent="0.2">
      <c r="C182" s="129" t="str">
        <f>Ökobaudat!D68</f>
        <v>Application intermediate coating water based (windows, white)</v>
      </c>
    </row>
    <row r="183" spans="3:3" hidden="1" outlineLevel="1" x14ac:dyDescent="0.2">
      <c r="C183" s="129" t="str">
        <f>Ökobaudat!D69</f>
        <v>Application top-coating water based (windows, white)</v>
      </c>
    </row>
    <row r="184" spans="3:3" hidden="1" outlineLevel="1" x14ac:dyDescent="0.2">
      <c r="C184" s="129" t="str">
        <f>Ökobaudat!D70</f>
        <v>Application primer water based (windows, white)</v>
      </c>
    </row>
    <row r="185" spans="3:3" hidden="1" outlineLevel="1" x14ac:dyDescent="0.2">
      <c r="C185" s="129">
        <f>Ökobaudat!D71</f>
        <v>0</v>
      </c>
    </row>
    <row r="186" spans="3:3" hidden="1" outlineLevel="1" x14ac:dyDescent="0.2">
      <c r="C186" s="129">
        <f>Ökobaudat!D72</f>
        <v>0</v>
      </c>
    </row>
    <row r="187" spans="3:3" hidden="1" outlineLevel="1" x14ac:dyDescent="0.2">
      <c r="C187" s="129">
        <f>Ökobaudat!D73</f>
        <v>0</v>
      </c>
    </row>
    <row r="188" spans="3:3" hidden="1" outlineLevel="1" x14ac:dyDescent="0.2">
      <c r="C188" s="129" t="str">
        <f>Ökobaudat!D74</f>
        <v>ROCKWOOL® Stone Wool Thermal Insulation</v>
      </c>
    </row>
    <row r="189" spans="3:3" hidden="1" outlineLevel="1" x14ac:dyDescent="0.2">
      <c r="C189" s="129" t="str">
        <f>Ökobaudat!D75</f>
        <v>MineralwolleDämmstoff im niedrigen Rohdichtebereich</v>
      </c>
    </row>
    <row r="190" spans="3:3" hidden="1" outlineLevel="1" x14ac:dyDescent="0.2">
      <c r="C190" s="129" t="str">
        <f>Ökobaudat!D76</f>
        <v>ROCKWOOL stone wool Thermal Insulation</v>
      </c>
    </row>
    <row r="191" spans="3:3" hidden="1" outlineLevel="1" x14ac:dyDescent="0.2">
      <c r="C191" s="129" t="str">
        <f>Ökobaudat!D77</f>
        <v>MineralwolleDämmstoff im mittleren Rohdichtebereich</v>
      </c>
    </row>
    <row r="192" spans="3:3" hidden="1" outlineLevel="1" x14ac:dyDescent="0.2">
      <c r="C192" s="129" t="str">
        <f>Ökobaudat!D78</f>
        <v>Light and heavy density mineral wool board</v>
      </c>
    </row>
    <row r="193" spans="3:3" hidden="1" outlineLevel="1" x14ac:dyDescent="0.2">
      <c r="C193" s="129" t="str">
        <f>Ökobaudat!D79</f>
        <v>MineralwolleDämmstoff im hohen Rohdichtebereich</v>
      </c>
    </row>
    <row r="194" spans="3:3" hidden="1" outlineLevel="1" x14ac:dyDescent="0.2">
      <c r="C194" s="129" t="str">
        <f>Ökobaudat!D80</f>
        <v>ROCKWOOL stone wool insulation materials in the high bulk density range</v>
      </c>
    </row>
    <row r="195" spans="3:3" hidden="1" outlineLevel="1" x14ac:dyDescent="0.2">
      <c r="C195" s="129">
        <f>Ökobaudat!D81</f>
        <v>0</v>
      </c>
    </row>
    <row r="196" spans="3:3" hidden="1" outlineLevel="1" x14ac:dyDescent="0.2">
      <c r="C196" s="129" t="str">
        <f>Ökobaudat!D82</f>
        <v>Panneaux de lamelles de bois minces orientées OSB (oriented strand board) de type 3 (panneaux travaillants utilisés en milieu humide)</v>
      </c>
    </row>
    <row r="197" spans="3:3" hidden="1" outlineLevel="1" x14ac:dyDescent="0.2">
      <c r="C197" s="129" t="e">
        <f>Ökobaudat!#REF!</f>
        <v>#REF!</v>
      </c>
    </row>
    <row r="198" spans="3:3" hidden="1" outlineLevel="1" x14ac:dyDescent="0.2">
      <c r="C198" s="129" t="str">
        <f>Ökobaudat!D83</f>
        <v>NORTH AMERICAN ORIENTED STRAND BOARD</v>
      </c>
    </row>
    <row r="199" spans="3:3" hidden="1" outlineLevel="1" x14ac:dyDescent="0.2">
      <c r="C199" s="129" t="str">
        <f>Ökobaudat!D84</f>
        <v>OSB (Norbord sites)</v>
      </c>
    </row>
    <row r="200" spans="3:3" hidden="1" outlineLevel="1" x14ac:dyDescent="0.2">
      <c r="C200" s="129" t="str">
        <f>Ökobaudat!D85</f>
        <v>Fritz EGGER GmbH &amp; Co. OG Holzwerkstoffe</v>
      </c>
    </row>
    <row r="201" spans="3:3" hidden="1" outlineLevel="1" x14ac:dyDescent="0.2">
      <c r="C201" s="129">
        <f>Ökobaudat!D86</f>
        <v>0</v>
      </c>
    </row>
    <row r="202" spans="3:3" hidden="1" outlineLevel="1" x14ac:dyDescent="0.2">
      <c r="C202" s="129" t="str">
        <f>Ökobaudat!D87</f>
        <v>WISA Birch plywood, uncoated</v>
      </c>
    </row>
    <row r="203" spans="3:3" hidden="1" outlineLevel="1" x14ac:dyDescent="0.2">
      <c r="C203" s="129" t="str">
        <f>Ökobaudat!D88</f>
        <v>exterioir plywood</v>
      </c>
    </row>
    <row r="204" spans="3:3" hidden="1" outlineLevel="1" x14ac:dyDescent="0.2">
      <c r="C204" s="129" t="str">
        <f>Ökobaudat!D89</f>
        <v>formwood</v>
      </c>
    </row>
    <row r="205" spans="3:3" hidden="1" outlineLevel="1" x14ac:dyDescent="0.2">
      <c r="C205" s="129" t="str">
        <f>Ökobaudat!D90</f>
        <v>exterior plywood</v>
      </c>
    </row>
    <row r="206" spans="3:3" hidden="1" outlineLevel="1" x14ac:dyDescent="0.2">
      <c r="C206" s="129" t="str">
        <f>Ökobaudat!D91</f>
        <v>Raw birch plywood (Riga Ply) with lignin based glue RIGA ECOlogical</v>
      </c>
    </row>
    <row r="207" spans="3:3" hidden="1" outlineLevel="1" x14ac:dyDescent="0.2">
      <c r="C207" s="129" t="str">
        <f>Ökobaudat!D92</f>
        <v>Plywood pure glue PG-B (8.5mm and 5 layers)</v>
      </c>
    </row>
    <row r="208" spans="3:3" hidden="1" outlineLevel="1" x14ac:dyDescent="0.2">
      <c r="C208" s="129" t="str">
        <f>Ökobaudat!D93</f>
        <v>Panneau de contreplaqué en pin maritime et résine phénolique (PF), fabriqué en France, pour contreventement</v>
      </c>
    </row>
    <row r="209" spans="3:3" hidden="1" outlineLevel="1" x14ac:dyDescent="0.2">
      <c r="C209" s="129" t="str">
        <f>Ökobaudat!D94</f>
        <v>Plywood board (generic); 5% moisture</v>
      </c>
    </row>
    <row r="210" spans="3:3" hidden="1" outlineLevel="1" x14ac:dyDescent="0.2">
      <c r="C210" s="129" t="str">
        <f>Ökobaudat!D95</f>
        <v>North American Softwood Plywood</v>
      </c>
    </row>
    <row r="211" spans="3:3" hidden="1" outlineLevel="1" x14ac:dyDescent="0.2">
      <c r="C211" s="129">
        <f>Ökobaudat!D96</f>
        <v>0</v>
      </c>
    </row>
    <row r="212" spans="3:3" hidden="1" outlineLevel="1" x14ac:dyDescent="0.2">
      <c r="C212" s="129">
        <f>Ökobaudat!D97</f>
        <v>0</v>
      </c>
    </row>
    <row r="213" spans="3:3" hidden="1" outlineLevel="1" x14ac:dyDescent="0.2">
      <c r="C213" s="129">
        <f>Ökobaudat!D98</f>
        <v>0</v>
      </c>
    </row>
    <row r="214" spans="3:3" hidden="1" outlineLevel="1" x14ac:dyDescent="0.2">
      <c r="C214" s="129">
        <f>Ökobaudat!D99</f>
        <v>0</v>
      </c>
    </row>
    <row r="215" spans="3:3" hidden="1" outlineLevel="1" x14ac:dyDescent="0.2">
      <c r="C215" s="129">
        <f>Ökobaudat!D100</f>
        <v>0</v>
      </c>
    </row>
    <row r="216" spans="3:3" hidden="1" outlineLevel="1" x14ac:dyDescent="0.2">
      <c r="C216" s="129">
        <f>Ökobaudat!D101</f>
        <v>0</v>
      </c>
    </row>
    <row r="217" spans="3:3" hidden="1" outlineLevel="1" x14ac:dyDescent="0.2">
      <c r="C217" s="129">
        <f>Ökobaudat!D102</f>
        <v>0</v>
      </c>
    </row>
    <row r="218" spans="3:3" hidden="1" outlineLevel="1" x14ac:dyDescent="0.2">
      <c r="C218" s="129">
        <f>Ökobaudat!D103</f>
        <v>0</v>
      </c>
    </row>
    <row r="219" spans="3:3" hidden="1" outlineLevel="1" x14ac:dyDescent="0.2">
      <c r="C219" s="129">
        <f>Ökobaudat!D104</f>
        <v>0</v>
      </c>
    </row>
    <row r="220" spans="3:3" hidden="1" outlineLevel="1" x14ac:dyDescent="0.2">
      <c r="C220" s="129">
        <f>Ökobaudat!D105</f>
        <v>0</v>
      </c>
    </row>
    <row r="221" spans="3:3" hidden="1" outlineLevel="1" x14ac:dyDescent="0.2">
      <c r="C221" s="129">
        <f>Ökobaudat!D106</f>
        <v>0</v>
      </c>
    </row>
    <row r="222" spans="3:3" hidden="1" outlineLevel="1" x14ac:dyDescent="0.2">
      <c r="C222" s="129">
        <f>Ökobaudat!D107</f>
        <v>0</v>
      </c>
    </row>
    <row r="223" spans="3:3" hidden="1" outlineLevel="1" x14ac:dyDescent="0.2">
      <c r="C223" s="129">
        <f>Ökobaudat!D108</f>
        <v>0</v>
      </c>
    </row>
    <row r="224" spans="3:3" hidden="1" outlineLevel="1" x14ac:dyDescent="0.2">
      <c r="C224" s="129">
        <f>Ökobaudat!D109</f>
        <v>0</v>
      </c>
    </row>
    <row r="225" spans="3:3" hidden="1" outlineLevel="1" x14ac:dyDescent="0.2">
      <c r="C225" s="129">
        <f>Ökobaudat!D110</f>
        <v>0</v>
      </c>
    </row>
    <row r="226" spans="3:3" hidden="1" outlineLevel="1" x14ac:dyDescent="0.2">
      <c r="C226" s="129">
        <f>Ökobaudat!D111</f>
        <v>0</v>
      </c>
    </row>
    <row r="227" spans="3:3" hidden="1" outlineLevel="1" x14ac:dyDescent="0.2">
      <c r="C227" s="129">
        <f>Ökobaudat!D112</f>
        <v>0</v>
      </c>
    </row>
    <row r="228" spans="3:3" hidden="1" outlineLevel="1" x14ac:dyDescent="0.2">
      <c r="C228" s="129">
        <f>Ökobaudat!D113</f>
        <v>0</v>
      </c>
    </row>
    <row r="229" spans="3:3" hidden="1" outlineLevel="1" x14ac:dyDescent="0.2">
      <c r="C229" s="129">
        <f>Ökobaudat!D114</f>
        <v>0</v>
      </c>
    </row>
    <row r="230" spans="3:3" hidden="1" outlineLevel="1" x14ac:dyDescent="0.2">
      <c r="C230" s="129">
        <f>Ökobaudat!D115</f>
        <v>0</v>
      </c>
    </row>
    <row r="231" spans="3:3" hidden="1" outlineLevel="1" x14ac:dyDescent="0.2">
      <c r="C231" s="129">
        <f>Ökobaudat!D116</f>
        <v>0</v>
      </c>
    </row>
    <row r="232" spans="3:3" hidden="1" outlineLevel="1" x14ac:dyDescent="0.2">
      <c r="C232" s="129">
        <f>Ökobaudat!D117</f>
        <v>0</v>
      </c>
    </row>
    <row r="233" spans="3:3" hidden="1" outlineLevel="1" x14ac:dyDescent="0.2">
      <c r="C233" s="129">
        <f>Ökobaudat!D118</f>
        <v>0</v>
      </c>
    </row>
    <row r="234" spans="3:3" hidden="1" outlineLevel="1" x14ac:dyDescent="0.2">
      <c r="C234" s="129">
        <f>Ökobaudat!D119</f>
        <v>0</v>
      </c>
    </row>
    <row r="235" spans="3:3" hidden="1" outlineLevel="1" x14ac:dyDescent="0.2">
      <c r="C235" s="129">
        <f>Ökobaudat!D120</f>
        <v>0</v>
      </c>
    </row>
    <row r="236" spans="3:3" hidden="1" outlineLevel="1" x14ac:dyDescent="0.2">
      <c r="C236" s="129">
        <f>Ökobaudat!D121</f>
        <v>0</v>
      </c>
    </row>
    <row r="237" spans="3:3" hidden="1" outlineLevel="1" x14ac:dyDescent="0.2">
      <c r="C237" s="129">
        <f>Ökobaudat!D122</f>
        <v>0</v>
      </c>
    </row>
    <row r="238" spans="3:3" hidden="1" outlineLevel="1" x14ac:dyDescent="0.2">
      <c r="C238" s="129">
        <f>Ökobaudat!D123</f>
        <v>0</v>
      </c>
    </row>
    <row r="239" spans="3:3" hidden="1" outlineLevel="1" x14ac:dyDescent="0.2">
      <c r="C239" s="129">
        <f>Ökobaudat!D124</f>
        <v>0</v>
      </c>
    </row>
    <row r="240" spans="3:3" hidden="1" outlineLevel="1" x14ac:dyDescent="0.2">
      <c r="C240" s="129">
        <f>Ökobaudat!D125</f>
        <v>0</v>
      </c>
    </row>
    <row r="241" spans="3:3" hidden="1" outlineLevel="1" x14ac:dyDescent="0.2">
      <c r="C241" s="129">
        <f>Ökobaudat!D126</f>
        <v>0</v>
      </c>
    </row>
    <row r="242" spans="3:3" hidden="1" outlineLevel="1" x14ac:dyDescent="0.2">
      <c r="C242" s="129">
        <f>Ökobaudat!D127</f>
        <v>0</v>
      </c>
    </row>
    <row r="243" spans="3:3" hidden="1" outlineLevel="1" x14ac:dyDescent="0.2">
      <c r="C243" s="129">
        <f>Ökobaudat!D128</f>
        <v>0</v>
      </c>
    </row>
    <row r="244" spans="3:3" hidden="1" outlineLevel="1" x14ac:dyDescent="0.2">
      <c r="C244" s="129">
        <f>Ökobaudat!D129</f>
        <v>0</v>
      </c>
    </row>
    <row r="245" spans="3:3" hidden="1" outlineLevel="1" x14ac:dyDescent="0.2">
      <c r="C245" s="129">
        <f>Ökobaudat!D130</f>
        <v>0</v>
      </c>
    </row>
    <row r="246" spans="3:3" hidden="1" outlineLevel="1" x14ac:dyDescent="0.2">
      <c r="C246" s="129">
        <f>Ökobaudat!D131</f>
        <v>0</v>
      </c>
    </row>
    <row r="247" spans="3:3" hidden="1" outlineLevel="1" x14ac:dyDescent="0.2">
      <c r="C247" s="129">
        <f>Ökobaudat!D132</f>
        <v>0</v>
      </c>
    </row>
    <row r="248" spans="3:3" hidden="1" outlineLevel="1" x14ac:dyDescent="0.2">
      <c r="C248" s="129">
        <f>Ökobaudat!D133</f>
        <v>0</v>
      </c>
    </row>
    <row r="249" spans="3:3" hidden="1" outlineLevel="1" x14ac:dyDescent="0.2">
      <c r="C249" s="129">
        <f>Ökobaudat!D134</f>
        <v>0</v>
      </c>
    </row>
    <row r="250" spans="3:3" hidden="1" outlineLevel="1" x14ac:dyDescent="0.2">
      <c r="C250" s="129">
        <f>Ökobaudat!D135</f>
        <v>0</v>
      </c>
    </row>
    <row r="251" spans="3:3" hidden="1" outlineLevel="1" x14ac:dyDescent="0.2">
      <c r="C251" s="129">
        <f>Ökobaudat!D136</f>
        <v>0</v>
      </c>
    </row>
    <row r="252" spans="3:3" hidden="1" outlineLevel="1" x14ac:dyDescent="0.2">
      <c r="C252" s="129">
        <f>Ökobaudat!D137</f>
        <v>0</v>
      </c>
    </row>
    <row r="253" spans="3:3" hidden="1" outlineLevel="1" x14ac:dyDescent="0.2">
      <c r="C253" s="129">
        <f>Ökobaudat!D138</f>
        <v>0</v>
      </c>
    </row>
    <row r="254" spans="3:3" hidden="1" outlineLevel="1" x14ac:dyDescent="0.2">
      <c r="C254" s="129">
        <f>Ökobaudat!D139</f>
        <v>0</v>
      </c>
    </row>
    <row r="255" spans="3:3" hidden="1" outlineLevel="1" x14ac:dyDescent="0.2">
      <c r="C255" s="129">
        <f>Ökobaudat!D140</f>
        <v>0</v>
      </c>
    </row>
    <row r="256" spans="3:3" hidden="1" outlineLevel="1" x14ac:dyDescent="0.2">
      <c r="C256" s="129">
        <f>Ökobaudat!D141</f>
        <v>0</v>
      </c>
    </row>
    <row r="257" spans="3:3" hidden="1" outlineLevel="1" x14ac:dyDescent="0.2">
      <c r="C257" s="129">
        <f>Ökobaudat!D142</f>
        <v>0</v>
      </c>
    </row>
    <row r="258" spans="3:3" hidden="1" outlineLevel="1" x14ac:dyDescent="0.2">
      <c r="C258" s="129">
        <f>Ökobaudat!D143</f>
        <v>0</v>
      </c>
    </row>
    <row r="259" spans="3:3" hidden="1" outlineLevel="1" x14ac:dyDescent="0.2">
      <c r="C259" s="129">
        <f>Ökobaudat!D144</f>
        <v>0</v>
      </c>
    </row>
    <row r="260" spans="3:3" hidden="1" outlineLevel="1" x14ac:dyDescent="0.2">
      <c r="C260" s="129">
        <f>Ökobaudat!D145</f>
        <v>0</v>
      </c>
    </row>
    <row r="261" spans="3:3" hidden="1" outlineLevel="1" x14ac:dyDescent="0.2">
      <c r="C261" s="129">
        <f>Ökobaudat!D146</f>
        <v>0</v>
      </c>
    </row>
    <row r="262" spans="3:3" hidden="1" outlineLevel="1" x14ac:dyDescent="0.2">
      <c r="C262" s="129">
        <f>Ökobaudat!D147</f>
        <v>0</v>
      </c>
    </row>
    <row r="263" spans="3:3" hidden="1" outlineLevel="1" x14ac:dyDescent="0.2">
      <c r="C263" s="129">
        <f>Ökobaudat!D148</f>
        <v>0</v>
      </c>
    </row>
    <row r="264" spans="3:3" hidden="1" outlineLevel="1" x14ac:dyDescent="0.2">
      <c r="C264" s="129">
        <f>Ökobaudat!D149</f>
        <v>0</v>
      </c>
    </row>
    <row r="265" spans="3:3" hidden="1" outlineLevel="1" x14ac:dyDescent="0.2">
      <c r="C265" s="129">
        <f>Ökobaudat!D150</f>
        <v>0</v>
      </c>
    </row>
    <row r="266" spans="3:3" hidden="1" outlineLevel="1" x14ac:dyDescent="0.2">
      <c r="C266" s="129">
        <f>Ökobaudat!D151</f>
        <v>0</v>
      </c>
    </row>
    <row r="267" spans="3:3" hidden="1" outlineLevel="1" x14ac:dyDescent="0.2">
      <c r="C267" s="129">
        <f>Ökobaudat!D152</f>
        <v>0</v>
      </c>
    </row>
    <row r="268" spans="3:3" hidden="1" outlineLevel="1" x14ac:dyDescent="0.2">
      <c r="C268" s="129">
        <f>Ökobaudat!D153</f>
        <v>0</v>
      </c>
    </row>
    <row r="269" spans="3:3" hidden="1" outlineLevel="1" x14ac:dyDescent="0.2">
      <c r="C269" s="129">
        <f>Ökobaudat!D154</f>
        <v>0</v>
      </c>
    </row>
    <row r="270" spans="3:3" hidden="1" outlineLevel="1" x14ac:dyDescent="0.2">
      <c r="C270" s="129">
        <f>Ökobaudat!D155</f>
        <v>0</v>
      </c>
    </row>
    <row r="271" spans="3:3" hidden="1" outlineLevel="1" x14ac:dyDescent="0.2">
      <c r="C271" s="129">
        <f>Ökobaudat!D156</f>
        <v>0</v>
      </c>
    </row>
    <row r="272" spans="3:3" hidden="1" outlineLevel="1" x14ac:dyDescent="0.2">
      <c r="C272" s="129">
        <f>Ökobaudat!D157</f>
        <v>0</v>
      </c>
    </row>
    <row r="273" spans="3:3" hidden="1" outlineLevel="1" x14ac:dyDescent="0.2">
      <c r="C273" s="129">
        <f>Ökobaudat!D158</f>
        <v>0</v>
      </c>
    </row>
    <row r="274" spans="3:3" hidden="1" outlineLevel="1" x14ac:dyDescent="0.2">
      <c r="C274" s="129">
        <f>Ökobaudat!D159</f>
        <v>0</v>
      </c>
    </row>
    <row r="275" spans="3:3" hidden="1" outlineLevel="1" x14ac:dyDescent="0.2">
      <c r="C275" s="129">
        <f>Ökobaudat!D160</f>
        <v>0</v>
      </c>
    </row>
    <row r="276" spans="3:3" hidden="1" outlineLevel="1" x14ac:dyDescent="0.2">
      <c r="C276" s="129">
        <f>Ökobaudat!D161</f>
        <v>0</v>
      </c>
    </row>
    <row r="277" spans="3:3" hidden="1" outlineLevel="1" x14ac:dyDescent="0.2">
      <c r="C277" s="129">
        <f>Ökobaudat!D162</f>
        <v>0</v>
      </c>
    </row>
    <row r="278" spans="3:3" hidden="1" outlineLevel="1" x14ac:dyDescent="0.2">
      <c r="C278" s="129">
        <f>Ökobaudat!D163</f>
        <v>0</v>
      </c>
    </row>
    <row r="279" spans="3:3" hidden="1" outlineLevel="1" x14ac:dyDescent="0.2">
      <c r="C279" s="129">
        <f>Ökobaudat!D164</f>
        <v>0</v>
      </c>
    </row>
    <row r="280" spans="3:3" hidden="1" outlineLevel="1" x14ac:dyDescent="0.2">
      <c r="C280" s="129">
        <f>Ökobaudat!D165</f>
        <v>0</v>
      </c>
    </row>
    <row r="281" spans="3:3" hidden="1" outlineLevel="1" x14ac:dyDescent="0.2">
      <c r="C281" s="129">
        <f>Ökobaudat!D166</f>
        <v>0</v>
      </c>
    </row>
    <row r="282" spans="3:3" hidden="1" outlineLevel="1" x14ac:dyDescent="0.2">
      <c r="C282" s="129">
        <f>Ökobaudat!D167</f>
        <v>0</v>
      </c>
    </row>
    <row r="283" spans="3:3" hidden="1" outlineLevel="1" x14ac:dyDescent="0.2">
      <c r="C283" s="129">
        <f>Ökobaudat!D168</f>
        <v>0</v>
      </c>
    </row>
    <row r="284" spans="3:3" hidden="1" outlineLevel="1" x14ac:dyDescent="0.2">
      <c r="C284" s="129">
        <f>Ökobaudat!D169</f>
        <v>0</v>
      </c>
    </row>
    <row r="285" spans="3:3" hidden="1" outlineLevel="1" x14ac:dyDescent="0.2">
      <c r="C285" s="129">
        <f>Ökobaudat!D170</f>
        <v>0</v>
      </c>
    </row>
    <row r="286" spans="3:3" hidden="1" outlineLevel="1" x14ac:dyDescent="0.2">
      <c r="C286" s="129">
        <f>Ökobaudat!D171</f>
        <v>0</v>
      </c>
    </row>
    <row r="287" spans="3:3" hidden="1" outlineLevel="1" x14ac:dyDescent="0.2">
      <c r="C287" s="129">
        <f>Ökobaudat!D172</f>
        <v>0</v>
      </c>
    </row>
    <row r="288" spans="3:3" hidden="1" outlineLevel="1" x14ac:dyDescent="0.2">
      <c r="C288" s="129">
        <f>Ökobaudat!D173</f>
        <v>0</v>
      </c>
    </row>
    <row r="289" spans="3:3" hidden="1" outlineLevel="1" x14ac:dyDescent="0.2">
      <c r="C289" s="129">
        <f>Ökobaudat!D174</f>
        <v>0</v>
      </c>
    </row>
    <row r="290" spans="3:3" hidden="1" outlineLevel="1" x14ac:dyDescent="0.2">
      <c r="C290" s="129">
        <f>Ökobaudat!D175</f>
        <v>0</v>
      </c>
    </row>
    <row r="291" spans="3:3" hidden="1" outlineLevel="1" x14ac:dyDescent="0.2">
      <c r="C291" s="129">
        <f>Ökobaudat!D176</f>
        <v>0</v>
      </c>
    </row>
    <row r="292" spans="3:3" hidden="1" outlineLevel="1" x14ac:dyDescent="0.2">
      <c r="C292" s="129">
        <f>Ökobaudat!D177</f>
        <v>0</v>
      </c>
    </row>
    <row r="293" spans="3:3" hidden="1" outlineLevel="1" x14ac:dyDescent="0.2">
      <c r="C293" s="129">
        <f>Ökobaudat!D178</f>
        <v>0</v>
      </c>
    </row>
    <row r="294" spans="3:3" hidden="1" outlineLevel="1" x14ac:dyDescent="0.2">
      <c r="C294" s="129">
        <f>Ökobaudat!D179</f>
        <v>0</v>
      </c>
    </row>
    <row r="295" spans="3:3" hidden="1" outlineLevel="1" x14ac:dyDescent="0.2">
      <c r="C295" s="129">
        <f>Ökobaudat!D180</f>
        <v>0</v>
      </c>
    </row>
    <row r="296" spans="3:3" hidden="1" outlineLevel="1" x14ac:dyDescent="0.2">
      <c r="C296" s="129">
        <f>Ökobaudat!D181</f>
        <v>0</v>
      </c>
    </row>
    <row r="297" spans="3:3" hidden="1" outlineLevel="1" x14ac:dyDescent="0.2">
      <c r="C297" s="129">
        <f>Ökobaudat!D182</f>
        <v>0</v>
      </c>
    </row>
    <row r="298" spans="3:3" hidden="1" outlineLevel="1" x14ac:dyDescent="0.2">
      <c r="C298" s="129">
        <f>Ökobaudat!D183</f>
        <v>0</v>
      </c>
    </row>
    <row r="299" spans="3:3" hidden="1" outlineLevel="1" x14ac:dyDescent="0.2">
      <c r="C299" s="129">
        <f>Ökobaudat!D184</f>
        <v>0</v>
      </c>
    </row>
    <row r="300" spans="3:3" hidden="1" outlineLevel="1" x14ac:dyDescent="0.2">
      <c r="C300" s="129">
        <f>Ökobaudat!D185</f>
        <v>0</v>
      </c>
    </row>
    <row r="301" spans="3:3" hidden="1" outlineLevel="1" x14ac:dyDescent="0.2">
      <c r="C301" s="129">
        <f>Ökobaudat!D186</f>
        <v>0</v>
      </c>
    </row>
    <row r="302" spans="3:3" hidden="1" outlineLevel="1" x14ac:dyDescent="0.2">
      <c r="C302" s="129">
        <f>Ökobaudat!D187</f>
        <v>0</v>
      </c>
    </row>
    <row r="303" spans="3:3" hidden="1" outlineLevel="1" x14ac:dyDescent="0.2">
      <c r="C303" s="129">
        <f>Ökobaudat!D188</f>
        <v>0</v>
      </c>
    </row>
  </sheetData>
  <mergeCells count="1">
    <mergeCell ref="Q9:T9"/>
  </mergeCells>
  <dataValidations count="1">
    <dataValidation type="list" allowBlank="1" showInputMessage="1" showErrorMessage="1" sqref="J11:J110">
      <formula1>$C$119:$C$303</formula1>
    </dataValidation>
  </dataValidations>
  <pageMargins left="0.7" right="0.7" top="0.78740157499999996" bottom="0.78740157499999996"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R170"/>
  <sheetViews>
    <sheetView showGridLines="0" topLeftCell="A4" workbookViewId="0">
      <selection activeCell="C39" sqref="C39"/>
    </sheetView>
  </sheetViews>
  <sheetFormatPr defaultColWidth="11.42578125" defaultRowHeight="15" x14ac:dyDescent="0.25"/>
  <cols>
    <col min="1" max="1" width="5.7109375" customWidth="1"/>
    <col min="2" max="2" width="4.7109375" customWidth="1"/>
    <col min="4" max="4" width="19.5703125" customWidth="1"/>
    <col min="6" max="6" width="16" customWidth="1"/>
  </cols>
  <sheetData>
    <row r="1" spans="2:18" ht="15.75" thickBot="1" x14ac:dyDescent="0.3"/>
    <row r="2" spans="2:18" ht="51" customHeight="1" thickTop="1" thickBot="1" x14ac:dyDescent="0.3">
      <c r="B2" s="355" t="s">
        <v>969</v>
      </c>
      <c r="C2" s="355"/>
      <c r="D2" s="355"/>
      <c r="E2" s="355"/>
      <c r="F2" s="355"/>
      <c r="G2" s="355"/>
      <c r="H2" s="355"/>
      <c r="I2" s="355"/>
      <c r="J2" s="355"/>
      <c r="K2" s="355"/>
      <c r="L2" s="355"/>
      <c r="M2" s="355"/>
      <c r="N2" s="355"/>
      <c r="O2" s="355"/>
      <c r="P2" s="355"/>
      <c r="Q2" s="355"/>
      <c r="R2" s="355"/>
    </row>
    <row r="3" spans="2:18" ht="15.75" thickTop="1" x14ac:dyDescent="0.25">
      <c r="C3" s="20"/>
      <c r="E3" t="s">
        <v>392</v>
      </c>
      <c r="G3" t="s">
        <v>922</v>
      </c>
      <c r="R3" s="356" t="str">
        <f>Balance!$S$3</f>
        <v>outPHit Manufacturing-Energy-Tool v. 1.0</v>
      </c>
    </row>
    <row r="4" spans="2:18" x14ac:dyDescent="0.25">
      <c r="B4" s="145" t="s">
        <v>155</v>
      </c>
      <c r="C4" s="198"/>
      <c r="D4" s="145" t="s">
        <v>370</v>
      </c>
      <c r="E4" s="124">
        <v>1</v>
      </c>
      <c r="G4" s="124">
        <v>1</v>
      </c>
    </row>
    <row r="5" spans="2:18" x14ac:dyDescent="0.25">
      <c r="B5" s="145" t="s">
        <v>156</v>
      </c>
      <c r="C5" s="198"/>
      <c r="D5" s="145" t="s">
        <v>371</v>
      </c>
      <c r="E5" s="124">
        <v>1</v>
      </c>
      <c r="G5" s="124">
        <v>0.6</v>
      </c>
    </row>
    <row r="6" spans="2:18" x14ac:dyDescent="0.25">
      <c r="B6" s="142">
        <v>1</v>
      </c>
      <c r="D6" s="145" t="s">
        <v>372</v>
      </c>
      <c r="E6" s="124">
        <v>0.95</v>
      </c>
      <c r="G6" s="124">
        <v>0</v>
      </c>
    </row>
    <row r="7" spans="2:18" x14ac:dyDescent="0.25">
      <c r="B7" s="142">
        <v>0</v>
      </c>
      <c r="D7" s="145" t="s">
        <v>373</v>
      </c>
      <c r="E7" s="124">
        <v>0.85</v>
      </c>
    </row>
    <row r="9" spans="2:18" x14ac:dyDescent="0.25">
      <c r="B9" s="173"/>
      <c r="C9" s="174">
        <v>2</v>
      </c>
      <c r="D9" s="50"/>
      <c r="E9" s="174">
        <f>COLUMN()-$C$9</f>
        <v>3</v>
      </c>
      <c r="F9" s="26">
        <f t="shared" ref="F9:L9" si="0">COLUMN()-$C$9</f>
        <v>4</v>
      </c>
      <c r="G9" s="26">
        <f t="shared" si="0"/>
        <v>5</v>
      </c>
      <c r="H9" s="26">
        <f t="shared" si="0"/>
        <v>6</v>
      </c>
      <c r="I9" s="26">
        <f t="shared" si="0"/>
        <v>7</v>
      </c>
      <c r="J9" s="26">
        <f t="shared" si="0"/>
        <v>8</v>
      </c>
      <c r="K9" s="26">
        <f t="shared" si="0"/>
        <v>9</v>
      </c>
      <c r="L9" s="26">
        <f t="shared" si="0"/>
        <v>10</v>
      </c>
      <c r="O9" s="336">
        <v>15</v>
      </c>
      <c r="P9" s="337"/>
      <c r="Q9" s="337"/>
      <c r="R9" s="335">
        <f>COLUMN()-$O$9</f>
        <v>3</v>
      </c>
    </row>
    <row r="10" spans="2:18" ht="30.75" customHeight="1" x14ac:dyDescent="0.25">
      <c r="B10" s="171" t="s">
        <v>364</v>
      </c>
      <c r="C10" s="170" t="s">
        <v>187</v>
      </c>
      <c r="D10" s="170" t="s">
        <v>360</v>
      </c>
      <c r="E10" s="170" t="s">
        <v>361</v>
      </c>
      <c r="F10" s="172" t="s">
        <v>362</v>
      </c>
      <c r="G10" s="210" t="s">
        <v>619</v>
      </c>
      <c r="H10" s="210" t="s">
        <v>620</v>
      </c>
      <c r="I10" s="210" t="s">
        <v>621</v>
      </c>
      <c r="J10" s="210" t="s">
        <v>622</v>
      </c>
      <c r="K10" s="210" t="s">
        <v>623</v>
      </c>
      <c r="L10" s="210" t="s">
        <v>957</v>
      </c>
      <c r="O10" s="171" t="s">
        <v>364</v>
      </c>
      <c r="P10" s="170" t="s">
        <v>187</v>
      </c>
      <c r="Q10" s="170"/>
      <c r="R10" s="210" t="s">
        <v>964</v>
      </c>
    </row>
    <row r="11" spans="2:18" x14ac:dyDescent="0.25">
      <c r="B11" s="166">
        <v>1</v>
      </c>
      <c r="C11" s="167" t="str">
        <f>B11&amp;"-"&amp;D11</f>
        <v>1-Frankfurt/Main (DE)</v>
      </c>
      <c r="D11" s="167" t="s">
        <v>615</v>
      </c>
      <c r="E11" s="168">
        <v>79</v>
      </c>
      <c r="F11" s="169">
        <v>1.8</v>
      </c>
      <c r="G11" s="211">
        <v>143.99187199566063</v>
      </c>
      <c r="H11" s="211">
        <v>228.20661606277508</v>
      </c>
      <c r="I11" s="211">
        <v>372.22417211680505</v>
      </c>
      <c r="J11" s="211">
        <v>233.19517153717464</v>
      </c>
      <c r="K11" s="211">
        <v>352.16763263942335</v>
      </c>
      <c r="L11" s="211">
        <v>214</v>
      </c>
      <c r="O11" s="339">
        <v>1</v>
      </c>
      <c r="P11" s="167" t="str">
        <f t="shared" ref="P11:P15" si="1">O11&amp;"-"&amp;Q11</f>
        <v>1-Dwelling</v>
      </c>
      <c r="Q11" s="167" t="s">
        <v>959</v>
      </c>
      <c r="R11" s="334">
        <v>2.4</v>
      </c>
    </row>
    <row r="12" spans="2:18" x14ac:dyDescent="0.25">
      <c r="B12" s="158">
        <f>1+B11</f>
        <v>2</v>
      </c>
      <c r="C12" s="145" t="str">
        <f t="shared" ref="C12:C30" si="2">B12&amp;"-"&amp;D12</f>
        <v>2-Freiburg (DE)</v>
      </c>
      <c r="D12" s="145" t="s">
        <v>616</v>
      </c>
      <c r="E12" s="142">
        <v>70</v>
      </c>
      <c r="F12" s="159">
        <v>1.8</v>
      </c>
      <c r="G12" s="211">
        <v>127.7104465560414</v>
      </c>
      <c r="H12" s="211">
        <v>214.66896337265297</v>
      </c>
      <c r="I12" s="211">
        <v>366.35632234655645</v>
      </c>
      <c r="J12" s="211">
        <v>212.07296545186639</v>
      </c>
      <c r="K12" s="211">
        <v>327.13464374044935</v>
      </c>
      <c r="L12" s="211">
        <v>195</v>
      </c>
      <c r="O12" s="339">
        <v>2</v>
      </c>
      <c r="P12" s="167" t="str">
        <f t="shared" si="1"/>
        <v>2-Nursing home / Students</v>
      </c>
      <c r="Q12" s="167" t="s">
        <v>960</v>
      </c>
      <c r="R12" s="334">
        <v>4.0999999999999996</v>
      </c>
    </row>
    <row r="13" spans="2:18" x14ac:dyDescent="0.25">
      <c r="B13" s="158">
        <f t="shared" ref="B13:B30" si="3">1+B12</f>
        <v>3</v>
      </c>
      <c r="C13" s="145" t="str">
        <f t="shared" si="2"/>
        <v>3-Potsdam (DE)</v>
      </c>
      <c r="D13" s="145" t="s">
        <v>617</v>
      </c>
      <c r="E13" s="142">
        <v>80</v>
      </c>
      <c r="F13" s="159">
        <v>1.85</v>
      </c>
      <c r="G13" s="211">
        <v>136.68297694927708</v>
      </c>
      <c r="H13" s="211">
        <v>230.60621897492314</v>
      </c>
      <c r="I13" s="211">
        <v>373.39430184401709</v>
      </c>
      <c r="J13" s="211">
        <v>227.52939485697942</v>
      </c>
      <c r="K13" s="211">
        <v>342.22381825226796</v>
      </c>
      <c r="L13" s="211">
        <v>219</v>
      </c>
      <c r="O13" s="339">
        <v>3</v>
      </c>
      <c r="P13" s="167" t="str">
        <f t="shared" si="1"/>
        <v>3-Office</v>
      </c>
      <c r="Q13" s="167" t="s">
        <v>961</v>
      </c>
      <c r="R13" s="334">
        <v>3.5</v>
      </c>
    </row>
    <row r="14" spans="2:18" x14ac:dyDescent="0.25">
      <c r="B14" s="158">
        <f t="shared" si="3"/>
        <v>4</v>
      </c>
      <c r="C14" s="145" t="str">
        <f t="shared" si="2"/>
        <v>4-Hof (DE)</v>
      </c>
      <c r="D14" s="145" t="s">
        <v>618</v>
      </c>
      <c r="E14" s="142">
        <v>100</v>
      </c>
      <c r="F14" s="159">
        <v>1.85</v>
      </c>
      <c r="G14" s="211">
        <v>163.35565866439788</v>
      </c>
      <c r="H14" s="211">
        <v>324.23354901543729</v>
      </c>
      <c r="I14" s="211">
        <v>508.11158556509076</v>
      </c>
      <c r="J14" s="211">
        <v>308.4342075257083</v>
      </c>
      <c r="K14" s="211">
        <v>442.92153693497067</v>
      </c>
      <c r="L14" s="211">
        <v>232</v>
      </c>
      <c r="O14" s="339">
        <v>4</v>
      </c>
      <c r="P14" s="167" t="str">
        <f t="shared" si="1"/>
        <v>4-School</v>
      </c>
      <c r="Q14" s="167" t="s">
        <v>962</v>
      </c>
      <c r="R14" s="334">
        <v>2.8</v>
      </c>
    </row>
    <row r="15" spans="2:18" x14ac:dyDescent="0.25">
      <c r="B15" s="158">
        <f t="shared" si="3"/>
        <v>5</v>
      </c>
      <c r="C15" s="145" t="str">
        <f t="shared" si="2"/>
        <v>5-Rome (IT)</v>
      </c>
      <c r="D15" s="145" t="s">
        <v>614</v>
      </c>
      <c r="E15" s="142">
        <v>30</v>
      </c>
      <c r="F15" s="159">
        <v>1.75</v>
      </c>
      <c r="G15" s="211">
        <v>54.445273981005649</v>
      </c>
      <c r="H15" s="211">
        <v>151.79037063138418</v>
      </c>
      <c r="I15" s="211">
        <v>351.47884165477853</v>
      </c>
      <c r="J15" s="211">
        <v>153.6770086806678</v>
      </c>
      <c r="K15" s="211">
        <v>232.38793874758287</v>
      </c>
      <c r="L15" s="211">
        <v>113</v>
      </c>
      <c r="O15" s="340">
        <v>5</v>
      </c>
      <c r="P15" s="333" t="str">
        <f t="shared" si="1"/>
        <v>5-Other</v>
      </c>
      <c r="Q15" s="333" t="s">
        <v>963</v>
      </c>
      <c r="R15" s="165">
        <v>1.45</v>
      </c>
    </row>
    <row r="16" spans="2:18" x14ac:dyDescent="0.25">
      <c r="B16" s="158">
        <f t="shared" si="3"/>
        <v>6</v>
      </c>
      <c r="C16" s="145" t="str">
        <f t="shared" si="2"/>
        <v>6-Kiruna (Schweden)</v>
      </c>
      <c r="D16" s="145" t="s">
        <v>75</v>
      </c>
      <c r="E16" s="142">
        <v>149</v>
      </c>
      <c r="F16" s="159">
        <v>1.55</v>
      </c>
      <c r="G16" s="211">
        <v>166</v>
      </c>
      <c r="H16" s="211">
        <v>326</v>
      </c>
      <c r="I16" s="211">
        <v>530</v>
      </c>
      <c r="J16" s="211">
        <v>347</v>
      </c>
      <c r="K16" s="211">
        <v>352</v>
      </c>
      <c r="L16" s="211">
        <v>243</v>
      </c>
    </row>
    <row r="17" spans="2:13" x14ac:dyDescent="0.25">
      <c r="B17" s="158">
        <f t="shared" si="3"/>
        <v>7</v>
      </c>
      <c r="C17" s="145" t="str">
        <f t="shared" si="2"/>
        <v>7-</v>
      </c>
      <c r="D17" s="133"/>
      <c r="E17" s="94"/>
      <c r="F17" s="160"/>
      <c r="G17" s="160"/>
      <c r="H17" s="160"/>
      <c r="I17" s="160"/>
      <c r="J17" s="160"/>
      <c r="K17" s="160"/>
      <c r="L17" s="160"/>
    </row>
    <row r="18" spans="2:13" x14ac:dyDescent="0.25">
      <c r="B18" s="158">
        <f t="shared" si="3"/>
        <v>8</v>
      </c>
      <c r="C18" s="145" t="str">
        <f t="shared" si="2"/>
        <v>8-</v>
      </c>
      <c r="D18" s="133"/>
      <c r="E18" s="94"/>
      <c r="F18" s="160"/>
      <c r="G18" s="160"/>
      <c r="H18" s="160"/>
      <c r="I18" s="160"/>
      <c r="J18" s="160"/>
      <c r="K18" s="160"/>
      <c r="L18" s="160"/>
    </row>
    <row r="19" spans="2:13" x14ac:dyDescent="0.25">
      <c r="B19" s="158">
        <f t="shared" si="3"/>
        <v>9</v>
      </c>
      <c r="C19" s="145" t="str">
        <f t="shared" si="2"/>
        <v>9-</v>
      </c>
      <c r="D19" s="133"/>
      <c r="E19" s="94"/>
      <c r="F19" s="160"/>
      <c r="G19" s="160"/>
      <c r="H19" s="160"/>
      <c r="I19" s="160"/>
      <c r="J19" s="160"/>
      <c r="K19" s="160"/>
      <c r="L19" s="160"/>
    </row>
    <row r="20" spans="2:13" x14ac:dyDescent="0.25">
      <c r="B20" s="158">
        <f t="shared" si="3"/>
        <v>10</v>
      </c>
      <c r="C20" s="145" t="str">
        <f t="shared" si="2"/>
        <v>10-</v>
      </c>
      <c r="D20" s="133"/>
      <c r="E20" s="94"/>
      <c r="F20" s="160"/>
      <c r="G20" s="160"/>
      <c r="H20" s="160"/>
      <c r="I20" s="160"/>
      <c r="J20" s="160"/>
      <c r="K20" s="160"/>
      <c r="L20" s="160"/>
    </row>
    <row r="21" spans="2:13" x14ac:dyDescent="0.25">
      <c r="B21" s="158">
        <f t="shared" si="3"/>
        <v>11</v>
      </c>
      <c r="C21" s="145" t="str">
        <f t="shared" si="2"/>
        <v>11-</v>
      </c>
      <c r="D21" s="133"/>
      <c r="E21" s="94"/>
      <c r="F21" s="160"/>
      <c r="G21" s="160"/>
      <c r="H21" s="160"/>
      <c r="I21" s="160"/>
      <c r="J21" s="160"/>
      <c r="K21" s="160"/>
      <c r="L21" s="160"/>
    </row>
    <row r="22" spans="2:13" x14ac:dyDescent="0.25">
      <c r="B22" s="158">
        <f t="shared" si="3"/>
        <v>12</v>
      </c>
      <c r="C22" s="145" t="str">
        <f t="shared" si="2"/>
        <v>12-</v>
      </c>
      <c r="D22" s="133"/>
      <c r="E22" s="94"/>
      <c r="F22" s="160"/>
      <c r="G22" s="160"/>
      <c r="H22" s="160"/>
      <c r="I22" s="160"/>
      <c r="J22" s="160"/>
      <c r="K22" s="160"/>
      <c r="L22" s="160"/>
    </row>
    <row r="23" spans="2:13" x14ac:dyDescent="0.25">
      <c r="B23" s="158">
        <f t="shared" si="3"/>
        <v>13</v>
      </c>
      <c r="C23" s="145" t="str">
        <f t="shared" si="2"/>
        <v>13-</v>
      </c>
      <c r="D23" s="133"/>
      <c r="E23" s="94"/>
      <c r="F23" s="160"/>
      <c r="G23" s="160"/>
      <c r="H23" s="160"/>
      <c r="I23" s="160"/>
      <c r="J23" s="160"/>
      <c r="K23" s="160"/>
      <c r="L23" s="160"/>
    </row>
    <row r="24" spans="2:13" x14ac:dyDescent="0.25">
      <c r="B24" s="158">
        <f t="shared" si="3"/>
        <v>14</v>
      </c>
      <c r="C24" s="145" t="str">
        <f t="shared" si="2"/>
        <v>14-</v>
      </c>
      <c r="D24" s="133"/>
      <c r="E24" s="94"/>
      <c r="F24" s="160"/>
      <c r="G24" s="160"/>
      <c r="H24" s="160"/>
      <c r="I24" s="160"/>
      <c r="J24" s="160"/>
      <c r="K24" s="160"/>
      <c r="L24" s="160"/>
    </row>
    <row r="25" spans="2:13" x14ac:dyDescent="0.25">
      <c r="B25" s="158">
        <f t="shared" si="3"/>
        <v>15</v>
      </c>
      <c r="C25" s="145" t="str">
        <f t="shared" si="2"/>
        <v>15-</v>
      </c>
      <c r="D25" s="133"/>
      <c r="E25" s="94"/>
      <c r="F25" s="160"/>
      <c r="G25" s="160"/>
      <c r="H25" s="160"/>
      <c r="I25" s="160"/>
      <c r="J25" s="160"/>
      <c r="K25" s="160"/>
      <c r="L25" s="160"/>
    </row>
    <row r="26" spans="2:13" x14ac:dyDescent="0.25">
      <c r="B26" s="158">
        <f t="shared" si="3"/>
        <v>16</v>
      </c>
      <c r="C26" s="145" t="str">
        <f t="shared" si="2"/>
        <v>16-</v>
      </c>
      <c r="D26" s="133"/>
      <c r="E26" s="94"/>
      <c r="F26" s="160"/>
      <c r="G26" s="160"/>
      <c r="H26" s="160"/>
      <c r="I26" s="160"/>
      <c r="J26" s="160"/>
      <c r="K26" s="160"/>
      <c r="L26" s="160"/>
    </row>
    <row r="27" spans="2:13" x14ac:dyDescent="0.25">
      <c r="B27" s="158">
        <f t="shared" si="3"/>
        <v>17</v>
      </c>
      <c r="C27" s="145" t="str">
        <f t="shared" si="2"/>
        <v>17-</v>
      </c>
      <c r="D27" s="133"/>
      <c r="E27" s="94"/>
      <c r="F27" s="160"/>
      <c r="G27" s="160"/>
      <c r="H27" s="160"/>
      <c r="I27" s="160"/>
      <c r="J27" s="160"/>
      <c r="K27" s="160"/>
      <c r="L27" s="160"/>
    </row>
    <row r="28" spans="2:13" x14ac:dyDescent="0.25">
      <c r="B28" s="158">
        <f t="shared" si="3"/>
        <v>18</v>
      </c>
      <c r="C28" s="145" t="str">
        <f t="shared" si="2"/>
        <v>18-</v>
      </c>
      <c r="D28" s="133"/>
      <c r="E28" s="94"/>
      <c r="F28" s="160"/>
      <c r="G28" s="160"/>
      <c r="H28" s="160"/>
      <c r="I28" s="160"/>
      <c r="J28" s="160"/>
      <c r="K28" s="160"/>
      <c r="L28" s="160"/>
    </row>
    <row r="29" spans="2:13" x14ac:dyDescent="0.25">
      <c r="B29" s="158">
        <f t="shared" si="3"/>
        <v>19</v>
      </c>
      <c r="C29" s="145" t="str">
        <f t="shared" si="2"/>
        <v>19-</v>
      </c>
      <c r="D29" s="133"/>
      <c r="E29" s="94"/>
      <c r="F29" s="160"/>
      <c r="G29" s="160"/>
      <c r="H29" s="160"/>
      <c r="I29" s="160"/>
      <c r="J29" s="160"/>
      <c r="K29" s="160"/>
      <c r="L29" s="160"/>
    </row>
    <row r="30" spans="2:13" x14ac:dyDescent="0.25">
      <c r="B30" s="161">
        <f t="shared" si="3"/>
        <v>20</v>
      </c>
      <c r="C30" s="162" t="str">
        <f t="shared" si="2"/>
        <v>20-</v>
      </c>
      <c r="D30" s="163"/>
      <c r="E30" s="164"/>
      <c r="F30" s="165"/>
      <c r="G30" s="165"/>
      <c r="H30" s="165"/>
      <c r="I30" s="165"/>
      <c r="J30" s="165"/>
      <c r="K30" s="165"/>
      <c r="L30" s="165"/>
    </row>
    <row r="32" spans="2:13" x14ac:dyDescent="0.25">
      <c r="C32" s="14" t="s">
        <v>376</v>
      </c>
      <c r="H32" s="14" t="s">
        <v>389</v>
      </c>
      <c r="M32" s="14" t="s">
        <v>373</v>
      </c>
    </row>
    <row r="33" spans="2:15" x14ac:dyDescent="0.25">
      <c r="C33" t="s">
        <v>383</v>
      </c>
      <c r="D33" t="s">
        <v>381</v>
      </c>
      <c r="H33" t="s">
        <v>383</v>
      </c>
      <c r="I33" t="s">
        <v>381</v>
      </c>
      <c r="M33" t="s">
        <v>383</v>
      </c>
      <c r="N33" t="s">
        <v>381</v>
      </c>
    </row>
    <row r="34" spans="2:15" x14ac:dyDescent="0.25">
      <c r="B34" t="s">
        <v>380</v>
      </c>
      <c r="C34" s="94">
        <v>2020</v>
      </c>
      <c r="D34" s="94">
        <v>400</v>
      </c>
      <c r="E34">
        <f>SLOPE(D34:D35,C34:C35)</f>
        <v>-5</v>
      </c>
      <c r="G34" s="182" t="s">
        <v>380</v>
      </c>
      <c r="H34" s="94">
        <v>2040</v>
      </c>
      <c r="I34" s="94">
        <v>250</v>
      </c>
      <c r="J34">
        <f>SLOPE(I34:I35,H34:H35)</f>
        <v>-4.166666666666667</v>
      </c>
      <c r="L34" s="182" t="s">
        <v>380</v>
      </c>
      <c r="M34" s="94">
        <v>2020</v>
      </c>
      <c r="N34" s="94">
        <v>25</v>
      </c>
      <c r="O34">
        <f>SLOPE(N34:N35,M34:M35)</f>
        <v>-0.3125</v>
      </c>
    </row>
    <row r="35" spans="2:15" x14ac:dyDescent="0.25">
      <c r="B35" t="s">
        <v>382</v>
      </c>
      <c r="C35" s="94">
        <v>2100</v>
      </c>
      <c r="D35" s="94">
        <v>0</v>
      </c>
      <c r="E35">
        <f>INTERCEPT(D34:D35,C34:C35)</f>
        <v>10500</v>
      </c>
      <c r="G35" s="182" t="s">
        <v>382</v>
      </c>
      <c r="H35" s="94">
        <v>2100</v>
      </c>
      <c r="I35" s="94">
        <v>0</v>
      </c>
      <c r="J35">
        <f>INTERCEPT(I34:I35,H34:H35)</f>
        <v>8750</v>
      </c>
      <c r="L35" s="182" t="s">
        <v>382</v>
      </c>
      <c r="M35" s="94">
        <v>2100</v>
      </c>
      <c r="N35" s="94">
        <v>0</v>
      </c>
      <c r="O35">
        <f>INTERCEPT(N34:N35,M34:M35)</f>
        <v>656.25</v>
      </c>
    </row>
    <row r="36" spans="2:15" x14ac:dyDescent="0.25">
      <c r="B36" t="s">
        <v>384</v>
      </c>
      <c r="C36" s="181"/>
      <c r="D36" s="142">
        <f ca="1">AVERAGE(INDIRECT(E38):INDIRECT(E39))</f>
        <v>340</v>
      </c>
      <c r="E36" s="113">
        <f>AVERAGE(D42:D62)</f>
        <v>340</v>
      </c>
      <c r="G36" s="182" t="s">
        <v>384</v>
      </c>
      <c r="H36" s="181"/>
      <c r="I36" s="142">
        <f ca="1">AVERAGE(INDIRECT(J38):INDIRECT(J39))</f>
        <v>249.40476190476181</v>
      </c>
      <c r="J36" s="113">
        <f>AVERAGE(I42:I62)</f>
        <v>249.40476190476181</v>
      </c>
      <c r="L36" s="182" t="s">
        <v>384</v>
      </c>
      <c r="M36" s="181"/>
      <c r="N36" s="142">
        <f ca="1">AVERAGE(INDIRECT(O38):INDIRECT(O39))</f>
        <v>21.25</v>
      </c>
      <c r="O36" s="113">
        <f>AVERAGE(N42:N62)</f>
        <v>21.25</v>
      </c>
    </row>
    <row r="37" spans="2:15" x14ac:dyDescent="0.25">
      <c r="C37" t="s">
        <v>386</v>
      </c>
      <c r="D37" t="s">
        <v>388</v>
      </c>
      <c r="G37" s="182"/>
      <c r="H37" t="s">
        <v>386</v>
      </c>
      <c r="I37" t="s">
        <v>388</v>
      </c>
      <c r="L37" s="182"/>
      <c r="M37" t="s">
        <v>386</v>
      </c>
      <c r="N37" t="s">
        <v>388</v>
      </c>
    </row>
    <row r="38" spans="2:15" x14ac:dyDescent="0.25">
      <c r="B38" t="s">
        <v>380</v>
      </c>
      <c r="C38" s="137">
        <f>Balance!H14</f>
        <v>2022</v>
      </c>
      <c r="D38" s="141">
        <f>VLOOKUP(C38,$C$40:$E$170,3)</f>
        <v>42</v>
      </c>
      <c r="E38" t="str">
        <f>"D"&amp;D38</f>
        <v>D42</v>
      </c>
      <c r="G38" s="182" t="s">
        <v>380</v>
      </c>
      <c r="H38" s="137">
        <f>C38</f>
        <v>2022</v>
      </c>
      <c r="I38" s="141">
        <f>VLOOKUP(H38,$H$40:$J$170,3)</f>
        <v>42</v>
      </c>
      <c r="J38" t="str">
        <f>"I"&amp;I38</f>
        <v>I42</v>
      </c>
      <c r="L38" s="182" t="s">
        <v>380</v>
      </c>
      <c r="M38" s="137">
        <f>H38</f>
        <v>2022</v>
      </c>
      <c r="N38" s="141">
        <f>VLOOKUP(M38,$M$40:$O$170,3)</f>
        <v>42</v>
      </c>
      <c r="O38" t="str">
        <f>"N"&amp;N38</f>
        <v>N42</v>
      </c>
    </row>
    <row r="39" spans="2:15" x14ac:dyDescent="0.25">
      <c r="B39" t="s">
        <v>387</v>
      </c>
      <c r="C39" s="142">
        <f>C38+Balance!H13</f>
        <v>2042</v>
      </c>
      <c r="D39" s="141">
        <f>VLOOKUP(C39,$C$40:$E$170,3)</f>
        <v>62</v>
      </c>
      <c r="E39" t="str">
        <f>"D"&amp;D39</f>
        <v>D62</v>
      </c>
      <c r="G39" s="182" t="s">
        <v>387</v>
      </c>
      <c r="H39" s="142">
        <f>C39</f>
        <v>2042</v>
      </c>
      <c r="I39" s="141">
        <f>VLOOKUP(H39,$H$40:$J$170,3)</f>
        <v>62</v>
      </c>
      <c r="J39" t="str">
        <f>"I"&amp;I39</f>
        <v>I62</v>
      </c>
      <c r="L39" s="182" t="s">
        <v>387</v>
      </c>
      <c r="M39" s="142">
        <f>H39</f>
        <v>2042</v>
      </c>
      <c r="N39" s="141">
        <f>VLOOKUP(M39,$M$40:$O$170,3)</f>
        <v>62</v>
      </c>
      <c r="O39" t="str">
        <f>"N"&amp;N39</f>
        <v>N62</v>
      </c>
    </row>
    <row r="40" spans="2:15" x14ac:dyDescent="0.25">
      <c r="C40">
        <v>2020</v>
      </c>
      <c r="D40" s="142">
        <f>IF(C40&lt;$C$34,$D$34,MAX(C40*$E$34+$E$35,0))</f>
        <v>400</v>
      </c>
      <c r="E40">
        <f>ROW()</f>
        <v>40</v>
      </c>
      <c r="H40">
        <v>2020</v>
      </c>
      <c r="I40" s="142">
        <f>IF(H40&lt;$H$34,$I$34,MAX(H40*$J$34+$J$35,0))</f>
        <v>250</v>
      </c>
      <c r="J40">
        <f>ROW()</f>
        <v>40</v>
      </c>
      <c r="M40">
        <v>2020</v>
      </c>
      <c r="N40" s="142">
        <f>IF(M40&lt;$M$34,$N$34,MAX(M40*$O$34+$O$35,0))</f>
        <v>25</v>
      </c>
      <c r="O40">
        <f>ROW()</f>
        <v>40</v>
      </c>
    </row>
    <row r="41" spans="2:15" x14ac:dyDescent="0.25">
      <c r="C41">
        <f>C40+1</f>
        <v>2021</v>
      </c>
      <c r="D41" s="142">
        <f t="shared" ref="D41:D104" si="4">IF(C41&lt;$C$34,$D$34,MAX(C41*$E$34+$E$35,0))</f>
        <v>395</v>
      </c>
      <c r="E41">
        <f>ROW()</f>
        <v>41</v>
      </c>
      <c r="H41">
        <f>H40+1</f>
        <v>2021</v>
      </c>
      <c r="I41" s="142">
        <f t="shared" ref="I41:I104" si="5">IF(H41&lt;$H$34,$I$34,MAX(H41*$J$34+$J$35,0))</f>
        <v>250</v>
      </c>
      <c r="J41">
        <f>ROW()</f>
        <v>41</v>
      </c>
      <c r="M41">
        <f>M40+1</f>
        <v>2021</v>
      </c>
      <c r="N41" s="142">
        <f t="shared" ref="N41:N104" si="6">IF(M41&lt;$M$34,$N$34,MAX(M41*$O$34+$O$35,0))</f>
        <v>24.6875</v>
      </c>
      <c r="O41">
        <f>ROW()</f>
        <v>41</v>
      </c>
    </row>
    <row r="42" spans="2:15" x14ac:dyDescent="0.25">
      <c r="C42">
        <f t="shared" ref="C42:C79" si="7">C41+1</f>
        <v>2022</v>
      </c>
      <c r="D42" s="142">
        <f t="shared" si="4"/>
        <v>390</v>
      </c>
      <c r="E42">
        <f>ROW()</f>
        <v>42</v>
      </c>
      <c r="H42">
        <f t="shared" ref="H42:H105" si="8">H41+1</f>
        <v>2022</v>
      </c>
      <c r="I42" s="142">
        <f t="shared" si="5"/>
        <v>250</v>
      </c>
      <c r="J42">
        <f>ROW()</f>
        <v>42</v>
      </c>
      <c r="M42">
        <f t="shared" ref="M42:M105" si="9">M41+1</f>
        <v>2022</v>
      </c>
      <c r="N42" s="142">
        <f t="shared" si="6"/>
        <v>24.375</v>
      </c>
      <c r="O42">
        <f>ROW()</f>
        <v>42</v>
      </c>
    </row>
    <row r="43" spans="2:15" x14ac:dyDescent="0.25">
      <c r="C43">
        <f t="shared" si="7"/>
        <v>2023</v>
      </c>
      <c r="D43" s="142">
        <f t="shared" si="4"/>
        <v>385</v>
      </c>
      <c r="E43">
        <f>ROW()</f>
        <v>43</v>
      </c>
      <c r="H43">
        <f t="shared" si="8"/>
        <v>2023</v>
      </c>
      <c r="I43" s="142">
        <f t="shared" si="5"/>
        <v>250</v>
      </c>
      <c r="J43">
        <f>ROW()</f>
        <v>43</v>
      </c>
      <c r="M43">
        <f t="shared" si="9"/>
        <v>2023</v>
      </c>
      <c r="N43" s="142">
        <f t="shared" si="6"/>
        <v>24.0625</v>
      </c>
      <c r="O43">
        <f>ROW()</f>
        <v>43</v>
      </c>
    </row>
    <row r="44" spans="2:15" x14ac:dyDescent="0.25">
      <c r="C44">
        <f t="shared" si="7"/>
        <v>2024</v>
      </c>
      <c r="D44" s="142">
        <f t="shared" si="4"/>
        <v>380</v>
      </c>
      <c r="E44">
        <f>ROW()</f>
        <v>44</v>
      </c>
      <c r="H44">
        <f t="shared" si="8"/>
        <v>2024</v>
      </c>
      <c r="I44" s="142">
        <f t="shared" si="5"/>
        <v>250</v>
      </c>
      <c r="J44">
        <f>ROW()</f>
        <v>44</v>
      </c>
      <c r="M44">
        <f t="shared" si="9"/>
        <v>2024</v>
      </c>
      <c r="N44" s="142">
        <f t="shared" si="6"/>
        <v>23.75</v>
      </c>
      <c r="O44">
        <f>ROW()</f>
        <v>44</v>
      </c>
    </row>
    <row r="45" spans="2:15" x14ac:dyDescent="0.25">
      <c r="C45">
        <f t="shared" si="7"/>
        <v>2025</v>
      </c>
      <c r="D45" s="142">
        <f t="shared" si="4"/>
        <v>375</v>
      </c>
      <c r="E45">
        <f>ROW()</f>
        <v>45</v>
      </c>
      <c r="H45">
        <f t="shared" si="8"/>
        <v>2025</v>
      </c>
      <c r="I45" s="142">
        <f t="shared" si="5"/>
        <v>250</v>
      </c>
      <c r="J45">
        <f>ROW()</f>
        <v>45</v>
      </c>
      <c r="M45">
        <f t="shared" si="9"/>
        <v>2025</v>
      </c>
      <c r="N45" s="142">
        <f t="shared" si="6"/>
        <v>23.4375</v>
      </c>
      <c r="O45">
        <f>ROW()</f>
        <v>45</v>
      </c>
    </row>
    <row r="46" spans="2:15" x14ac:dyDescent="0.25">
      <c r="C46">
        <f t="shared" si="7"/>
        <v>2026</v>
      </c>
      <c r="D46" s="142">
        <f t="shared" si="4"/>
        <v>370</v>
      </c>
      <c r="E46">
        <f>ROW()</f>
        <v>46</v>
      </c>
      <c r="H46">
        <f t="shared" si="8"/>
        <v>2026</v>
      </c>
      <c r="I46" s="142">
        <f t="shared" si="5"/>
        <v>250</v>
      </c>
      <c r="J46">
        <f>ROW()</f>
        <v>46</v>
      </c>
      <c r="M46">
        <f t="shared" si="9"/>
        <v>2026</v>
      </c>
      <c r="N46" s="142">
        <f t="shared" si="6"/>
        <v>23.125</v>
      </c>
      <c r="O46">
        <f>ROW()</f>
        <v>46</v>
      </c>
    </row>
    <row r="47" spans="2:15" x14ac:dyDescent="0.25">
      <c r="C47">
        <f t="shared" si="7"/>
        <v>2027</v>
      </c>
      <c r="D47" s="142">
        <f t="shared" si="4"/>
        <v>365</v>
      </c>
      <c r="E47">
        <f>ROW()</f>
        <v>47</v>
      </c>
      <c r="H47">
        <f t="shared" si="8"/>
        <v>2027</v>
      </c>
      <c r="I47" s="142">
        <f t="shared" si="5"/>
        <v>250</v>
      </c>
      <c r="J47">
        <f>ROW()</f>
        <v>47</v>
      </c>
      <c r="M47">
        <f t="shared" si="9"/>
        <v>2027</v>
      </c>
      <c r="N47" s="142">
        <f t="shared" si="6"/>
        <v>22.8125</v>
      </c>
      <c r="O47">
        <f>ROW()</f>
        <v>47</v>
      </c>
    </row>
    <row r="48" spans="2:15" x14ac:dyDescent="0.25">
      <c r="C48">
        <f t="shared" si="7"/>
        <v>2028</v>
      </c>
      <c r="D48" s="142">
        <f t="shared" si="4"/>
        <v>360</v>
      </c>
      <c r="E48">
        <f>ROW()</f>
        <v>48</v>
      </c>
      <c r="H48">
        <f t="shared" si="8"/>
        <v>2028</v>
      </c>
      <c r="I48" s="142">
        <f t="shared" si="5"/>
        <v>250</v>
      </c>
      <c r="J48">
        <f>ROW()</f>
        <v>48</v>
      </c>
      <c r="M48">
        <f t="shared" si="9"/>
        <v>2028</v>
      </c>
      <c r="N48" s="142">
        <f t="shared" si="6"/>
        <v>22.5</v>
      </c>
      <c r="O48">
        <f>ROW()</f>
        <v>48</v>
      </c>
    </row>
    <row r="49" spans="3:15" x14ac:dyDescent="0.25">
      <c r="C49">
        <f t="shared" si="7"/>
        <v>2029</v>
      </c>
      <c r="D49" s="142">
        <f t="shared" si="4"/>
        <v>355</v>
      </c>
      <c r="E49">
        <f>ROW()</f>
        <v>49</v>
      </c>
      <c r="H49">
        <f t="shared" si="8"/>
        <v>2029</v>
      </c>
      <c r="I49" s="142">
        <f t="shared" si="5"/>
        <v>250</v>
      </c>
      <c r="J49">
        <f>ROW()</f>
        <v>49</v>
      </c>
      <c r="M49">
        <f t="shared" si="9"/>
        <v>2029</v>
      </c>
      <c r="N49" s="142">
        <f t="shared" si="6"/>
        <v>22.1875</v>
      </c>
      <c r="O49">
        <f>ROW()</f>
        <v>49</v>
      </c>
    </row>
    <row r="50" spans="3:15" x14ac:dyDescent="0.25">
      <c r="C50">
        <f t="shared" si="7"/>
        <v>2030</v>
      </c>
      <c r="D50" s="142">
        <f t="shared" si="4"/>
        <v>350</v>
      </c>
      <c r="E50">
        <f>ROW()</f>
        <v>50</v>
      </c>
      <c r="H50">
        <f t="shared" si="8"/>
        <v>2030</v>
      </c>
      <c r="I50" s="142">
        <f t="shared" si="5"/>
        <v>250</v>
      </c>
      <c r="J50">
        <f>ROW()</f>
        <v>50</v>
      </c>
      <c r="M50">
        <f t="shared" si="9"/>
        <v>2030</v>
      </c>
      <c r="N50" s="142">
        <f t="shared" si="6"/>
        <v>21.875</v>
      </c>
      <c r="O50">
        <f>ROW()</f>
        <v>50</v>
      </c>
    </row>
    <row r="51" spans="3:15" x14ac:dyDescent="0.25">
      <c r="C51">
        <f t="shared" si="7"/>
        <v>2031</v>
      </c>
      <c r="D51" s="142">
        <f t="shared" si="4"/>
        <v>345</v>
      </c>
      <c r="E51">
        <f>ROW()</f>
        <v>51</v>
      </c>
      <c r="H51">
        <f t="shared" si="8"/>
        <v>2031</v>
      </c>
      <c r="I51" s="142">
        <f t="shared" si="5"/>
        <v>250</v>
      </c>
      <c r="J51">
        <f>ROW()</f>
        <v>51</v>
      </c>
      <c r="M51">
        <f t="shared" si="9"/>
        <v>2031</v>
      </c>
      <c r="N51" s="142">
        <f t="shared" si="6"/>
        <v>21.5625</v>
      </c>
      <c r="O51">
        <f>ROW()</f>
        <v>51</v>
      </c>
    </row>
    <row r="52" spans="3:15" x14ac:dyDescent="0.25">
      <c r="C52">
        <f t="shared" si="7"/>
        <v>2032</v>
      </c>
      <c r="D52" s="142">
        <f t="shared" si="4"/>
        <v>340</v>
      </c>
      <c r="E52">
        <f>ROW()</f>
        <v>52</v>
      </c>
      <c r="H52">
        <f t="shared" si="8"/>
        <v>2032</v>
      </c>
      <c r="I52" s="142">
        <f t="shared" si="5"/>
        <v>250</v>
      </c>
      <c r="J52">
        <f>ROW()</f>
        <v>52</v>
      </c>
      <c r="M52">
        <f t="shared" si="9"/>
        <v>2032</v>
      </c>
      <c r="N52" s="142">
        <f t="shared" si="6"/>
        <v>21.25</v>
      </c>
      <c r="O52">
        <f>ROW()</f>
        <v>52</v>
      </c>
    </row>
    <row r="53" spans="3:15" x14ac:dyDescent="0.25">
      <c r="C53">
        <f t="shared" si="7"/>
        <v>2033</v>
      </c>
      <c r="D53" s="142">
        <f t="shared" si="4"/>
        <v>335</v>
      </c>
      <c r="E53">
        <f>ROW()</f>
        <v>53</v>
      </c>
      <c r="H53">
        <f t="shared" si="8"/>
        <v>2033</v>
      </c>
      <c r="I53" s="142">
        <f t="shared" si="5"/>
        <v>250</v>
      </c>
      <c r="J53">
        <f>ROW()</f>
        <v>53</v>
      </c>
      <c r="M53">
        <f t="shared" si="9"/>
        <v>2033</v>
      </c>
      <c r="N53" s="142">
        <f t="shared" si="6"/>
        <v>20.9375</v>
      </c>
      <c r="O53">
        <f>ROW()</f>
        <v>53</v>
      </c>
    </row>
    <row r="54" spans="3:15" x14ac:dyDescent="0.25">
      <c r="C54">
        <f t="shared" si="7"/>
        <v>2034</v>
      </c>
      <c r="D54" s="142">
        <f t="shared" si="4"/>
        <v>330</v>
      </c>
      <c r="E54">
        <f>ROW()</f>
        <v>54</v>
      </c>
      <c r="H54">
        <f t="shared" si="8"/>
        <v>2034</v>
      </c>
      <c r="I54" s="142">
        <f t="shared" si="5"/>
        <v>250</v>
      </c>
      <c r="J54">
        <f>ROW()</f>
        <v>54</v>
      </c>
      <c r="M54">
        <f t="shared" si="9"/>
        <v>2034</v>
      </c>
      <c r="N54" s="142">
        <f t="shared" si="6"/>
        <v>20.625</v>
      </c>
      <c r="O54">
        <f>ROW()</f>
        <v>54</v>
      </c>
    </row>
    <row r="55" spans="3:15" x14ac:dyDescent="0.25">
      <c r="C55">
        <f t="shared" si="7"/>
        <v>2035</v>
      </c>
      <c r="D55" s="142">
        <f t="shared" si="4"/>
        <v>325</v>
      </c>
      <c r="E55">
        <f>ROW()</f>
        <v>55</v>
      </c>
      <c r="H55">
        <f t="shared" si="8"/>
        <v>2035</v>
      </c>
      <c r="I55" s="142">
        <f t="shared" si="5"/>
        <v>250</v>
      </c>
      <c r="J55">
        <f>ROW()</f>
        <v>55</v>
      </c>
      <c r="M55">
        <f t="shared" si="9"/>
        <v>2035</v>
      </c>
      <c r="N55" s="142">
        <f t="shared" si="6"/>
        <v>20.3125</v>
      </c>
      <c r="O55">
        <f>ROW()</f>
        <v>55</v>
      </c>
    </row>
    <row r="56" spans="3:15" x14ac:dyDescent="0.25">
      <c r="C56">
        <f t="shared" si="7"/>
        <v>2036</v>
      </c>
      <c r="D56" s="142">
        <f t="shared" si="4"/>
        <v>320</v>
      </c>
      <c r="E56">
        <f>ROW()</f>
        <v>56</v>
      </c>
      <c r="H56">
        <f t="shared" si="8"/>
        <v>2036</v>
      </c>
      <c r="I56" s="142">
        <f t="shared" si="5"/>
        <v>250</v>
      </c>
      <c r="J56">
        <f>ROW()</f>
        <v>56</v>
      </c>
      <c r="M56">
        <f t="shared" si="9"/>
        <v>2036</v>
      </c>
      <c r="N56" s="142">
        <f t="shared" si="6"/>
        <v>20</v>
      </c>
      <c r="O56">
        <f>ROW()</f>
        <v>56</v>
      </c>
    </row>
    <row r="57" spans="3:15" x14ac:dyDescent="0.25">
      <c r="C57">
        <f t="shared" si="7"/>
        <v>2037</v>
      </c>
      <c r="D57" s="142">
        <f t="shared" si="4"/>
        <v>315</v>
      </c>
      <c r="E57">
        <f>ROW()</f>
        <v>57</v>
      </c>
      <c r="H57">
        <f t="shared" si="8"/>
        <v>2037</v>
      </c>
      <c r="I57" s="142">
        <f t="shared" si="5"/>
        <v>250</v>
      </c>
      <c r="J57">
        <f>ROW()</f>
        <v>57</v>
      </c>
      <c r="M57">
        <f t="shared" si="9"/>
        <v>2037</v>
      </c>
      <c r="N57" s="142">
        <f t="shared" si="6"/>
        <v>19.6875</v>
      </c>
      <c r="O57">
        <f>ROW()</f>
        <v>57</v>
      </c>
    </row>
    <row r="58" spans="3:15" x14ac:dyDescent="0.25">
      <c r="C58">
        <f t="shared" si="7"/>
        <v>2038</v>
      </c>
      <c r="D58" s="142">
        <f t="shared" si="4"/>
        <v>310</v>
      </c>
      <c r="E58">
        <f>ROW()</f>
        <v>58</v>
      </c>
      <c r="H58">
        <f t="shared" si="8"/>
        <v>2038</v>
      </c>
      <c r="I58" s="142">
        <f t="shared" si="5"/>
        <v>250</v>
      </c>
      <c r="J58">
        <f>ROW()</f>
        <v>58</v>
      </c>
      <c r="M58">
        <f t="shared" si="9"/>
        <v>2038</v>
      </c>
      <c r="N58" s="142">
        <f t="shared" si="6"/>
        <v>19.375</v>
      </c>
      <c r="O58">
        <f>ROW()</f>
        <v>58</v>
      </c>
    </row>
    <row r="59" spans="3:15" x14ac:dyDescent="0.25">
      <c r="C59">
        <f t="shared" si="7"/>
        <v>2039</v>
      </c>
      <c r="D59" s="142">
        <f t="shared" si="4"/>
        <v>305</v>
      </c>
      <c r="E59">
        <f>ROW()</f>
        <v>59</v>
      </c>
      <c r="H59">
        <f t="shared" si="8"/>
        <v>2039</v>
      </c>
      <c r="I59" s="142">
        <f t="shared" si="5"/>
        <v>250</v>
      </c>
      <c r="J59">
        <f>ROW()</f>
        <v>59</v>
      </c>
      <c r="M59">
        <f t="shared" si="9"/>
        <v>2039</v>
      </c>
      <c r="N59" s="142">
        <f t="shared" si="6"/>
        <v>19.0625</v>
      </c>
      <c r="O59">
        <f>ROW()</f>
        <v>59</v>
      </c>
    </row>
    <row r="60" spans="3:15" x14ac:dyDescent="0.25">
      <c r="C60">
        <f t="shared" si="7"/>
        <v>2040</v>
      </c>
      <c r="D60" s="142">
        <f t="shared" si="4"/>
        <v>300</v>
      </c>
      <c r="E60">
        <f>ROW()</f>
        <v>60</v>
      </c>
      <c r="H60">
        <f t="shared" si="8"/>
        <v>2040</v>
      </c>
      <c r="I60" s="142">
        <f t="shared" si="5"/>
        <v>250</v>
      </c>
      <c r="J60">
        <f>ROW()</f>
        <v>60</v>
      </c>
      <c r="M60">
        <f t="shared" si="9"/>
        <v>2040</v>
      </c>
      <c r="N60" s="142">
        <f t="shared" si="6"/>
        <v>18.75</v>
      </c>
      <c r="O60">
        <f>ROW()</f>
        <v>60</v>
      </c>
    </row>
    <row r="61" spans="3:15" x14ac:dyDescent="0.25">
      <c r="C61">
        <f t="shared" si="7"/>
        <v>2041</v>
      </c>
      <c r="D61" s="142">
        <f t="shared" si="4"/>
        <v>295</v>
      </c>
      <c r="E61">
        <f>ROW()</f>
        <v>61</v>
      </c>
      <c r="H61">
        <f t="shared" si="8"/>
        <v>2041</v>
      </c>
      <c r="I61" s="142">
        <f t="shared" si="5"/>
        <v>245.83333333333212</v>
      </c>
      <c r="J61">
        <f>ROW()</f>
        <v>61</v>
      </c>
      <c r="M61">
        <f t="shared" si="9"/>
        <v>2041</v>
      </c>
      <c r="N61" s="142">
        <f t="shared" si="6"/>
        <v>18.4375</v>
      </c>
      <c r="O61">
        <f>ROW()</f>
        <v>61</v>
      </c>
    </row>
    <row r="62" spans="3:15" x14ac:dyDescent="0.25">
      <c r="C62">
        <f t="shared" si="7"/>
        <v>2042</v>
      </c>
      <c r="D62" s="142">
        <f t="shared" si="4"/>
        <v>290</v>
      </c>
      <c r="E62">
        <f>ROW()</f>
        <v>62</v>
      </c>
      <c r="H62">
        <f t="shared" si="8"/>
        <v>2042</v>
      </c>
      <c r="I62" s="142">
        <f t="shared" si="5"/>
        <v>241.66666666666606</v>
      </c>
      <c r="J62">
        <f>ROW()</f>
        <v>62</v>
      </c>
      <c r="M62">
        <f t="shared" si="9"/>
        <v>2042</v>
      </c>
      <c r="N62" s="142">
        <f t="shared" si="6"/>
        <v>18.125</v>
      </c>
      <c r="O62">
        <f>ROW()</f>
        <v>62</v>
      </c>
    </row>
    <row r="63" spans="3:15" x14ac:dyDescent="0.25">
      <c r="C63">
        <f t="shared" si="7"/>
        <v>2043</v>
      </c>
      <c r="D63" s="142">
        <f t="shared" si="4"/>
        <v>285</v>
      </c>
      <c r="E63">
        <f>ROW()</f>
        <v>63</v>
      </c>
      <c r="H63">
        <f t="shared" si="8"/>
        <v>2043</v>
      </c>
      <c r="I63" s="142">
        <f t="shared" si="5"/>
        <v>237.5</v>
      </c>
      <c r="J63">
        <f>ROW()</f>
        <v>63</v>
      </c>
      <c r="M63">
        <f t="shared" si="9"/>
        <v>2043</v>
      </c>
      <c r="N63" s="142">
        <f t="shared" si="6"/>
        <v>17.8125</v>
      </c>
      <c r="O63">
        <f>ROW()</f>
        <v>63</v>
      </c>
    </row>
    <row r="64" spans="3:15" x14ac:dyDescent="0.25">
      <c r="C64">
        <f t="shared" si="7"/>
        <v>2044</v>
      </c>
      <c r="D64" s="142">
        <f t="shared" si="4"/>
        <v>280</v>
      </c>
      <c r="E64">
        <f>ROW()</f>
        <v>64</v>
      </c>
      <c r="H64">
        <f t="shared" si="8"/>
        <v>2044</v>
      </c>
      <c r="I64" s="142">
        <f t="shared" si="5"/>
        <v>233.33333333333212</v>
      </c>
      <c r="J64">
        <f>ROW()</f>
        <v>64</v>
      </c>
      <c r="M64">
        <f t="shared" si="9"/>
        <v>2044</v>
      </c>
      <c r="N64" s="142">
        <f t="shared" si="6"/>
        <v>17.5</v>
      </c>
      <c r="O64">
        <f>ROW()</f>
        <v>64</v>
      </c>
    </row>
    <row r="65" spans="3:15" x14ac:dyDescent="0.25">
      <c r="C65">
        <f t="shared" si="7"/>
        <v>2045</v>
      </c>
      <c r="D65" s="142">
        <f t="shared" si="4"/>
        <v>275</v>
      </c>
      <c r="E65">
        <f>ROW()</f>
        <v>65</v>
      </c>
      <c r="H65">
        <f t="shared" si="8"/>
        <v>2045</v>
      </c>
      <c r="I65" s="142">
        <f t="shared" si="5"/>
        <v>229.16666666666606</v>
      </c>
      <c r="J65">
        <f>ROW()</f>
        <v>65</v>
      </c>
      <c r="M65">
        <f t="shared" si="9"/>
        <v>2045</v>
      </c>
      <c r="N65" s="142">
        <f t="shared" si="6"/>
        <v>17.1875</v>
      </c>
      <c r="O65">
        <f>ROW()</f>
        <v>65</v>
      </c>
    </row>
    <row r="66" spans="3:15" x14ac:dyDescent="0.25">
      <c r="C66">
        <f t="shared" si="7"/>
        <v>2046</v>
      </c>
      <c r="D66" s="142">
        <f t="shared" si="4"/>
        <v>270</v>
      </c>
      <c r="E66">
        <f>ROW()</f>
        <v>66</v>
      </c>
      <c r="H66">
        <f t="shared" si="8"/>
        <v>2046</v>
      </c>
      <c r="I66" s="142">
        <f t="shared" si="5"/>
        <v>225</v>
      </c>
      <c r="J66">
        <f>ROW()</f>
        <v>66</v>
      </c>
      <c r="M66">
        <f t="shared" si="9"/>
        <v>2046</v>
      </c>
      <c r="N66" s="142">
        <f t="shared" si="6"/>
        <v>16.875</v>
      </c>
      <c r="O66">
        <f>ROW()</f>
        <v>66</v>
      </c>
    </row>
    <row r="67" spans="3:15" x14ac:dyDescent="0.25">
      <c r="C67">
        <f t="shared" si="7"/>
        <v>2047</v>
      </c>
      <c r="D67" s="142">
        <f t="shared" si="4"/>
        <v>265</v>
      </c>
      <c r="E67">
        <f>ROW()</f>
        <v>67</v>
      </c>
      <c r="H67">
        <f t="shared" si="8"/>
        <v>2047</v>
      </c>
      <c r="I67" s="142">
        <f t="shared" si="5"/>
        <v>220.83333333333212</v>
      </c>
      <c r="J67">
        <f>ROW()</f>
        <v>67</v>
      </c>
      <c r="M67">
        <f t="shared" si="9"/>
        <v>2047</v>
      </c>
      <c r="N67" s="142">
        <f t="shared" si="6"/>
        <v>16.5625</v>
      </c>
      <c r="O67">
        <f>ROW()</f>
        <v>67</v>
      </c>
    </row>
    <row r="68" spans="3:15" x14ac:dyDescent="0.25">
      <c r="C68">
        <f t="shared" si="7"/>
        <v>2048</v>
      </c>
      <c r="D68" s="142">
        <f t="shared" si="4"/>
        <v>260</v>
      </c>
      <c r="E68">
        <f>ROW()</f>
        <v>68</v>
      </c>
      <c r="H68">
        <f t="shared" si="8"/>
        <v>2048</v>
      </c>
      <c r="I68" s="142">
        <f t="shared" si="5"/>
        <v>216.66666666666606</v>
      </c>
      <c r="J68">
        <f>ROW()</f>
        <v>68</v>
      </c>
      <c r="M68">
        <f t="shared" si="9"/>
        <v>2048</v>
      </c>
      <c r="N68" s="142">
        <f t="shared" si="6"/>
        <v>16.25</v>
      </c>
      <c r="O68">
        <f>ROW()</f>
        <v>68</v>
      </c>
    </row>
    <row r="69" spans="3:15" x14ac:dyDescent="0.25">
      <c r="C69">
        <f t="shared" si="7"/>
        <v>2049</v>
      </c>
      <c r="D69" s="142">
        <f t="shared" si="4"/>
        <v>255</v>
      </c>
      <c r="E69">
        <f>ROW()</f>
        <v>69</v>
      </c>
      <c r="H69">
        <f t="shared" si="8"/>
        <v>2049</v>
      </c>
      <c r="I69" s="142">
        <f t="shared" si="5"/>
        <v>212.5</v>
      </c>
      <c r="J69">
        <f>ROW()</f>
        <v>69</v>
      </c>
      <c r="M69">
        <f t="shared" si="9"/>
        <v>2049</v>
      </c>
      <c r="N69" s="142">
        <f t="shared" si="6"/>
        <v>15.9375</v>
      </c>
      <c r="O69">
        <f>ROW()</f>
        <v>69</v>
      </c>
    </row>
    <row r="70" spans="3:15" x14ac:dyDescent="0.25">
      <c r="C70">
        <f t="shared" si="7"/>
        <v>2050</v>
      </c>
      <c r="D70" s="142">
        <f t="shared" si="4"/>
        <v>250</v>
      </c>
      <c r="E70">
        <f>ROW()</f>
        <v>70</v>
      </c>
      <c r="H70">
        <f t="shared" si="8"/>
        <v>2050</v>
      </c>
      <c r="I70" s="142">
        <f t="shared" si="5"/>
        <v>208.33333333333212</v>
      </c>
      <c r="J70">
        <f>ROW()</f>
        <v>70</v>
      </c>
      <c r="M70">
        <f t="shared" si="9"/>
        <v>2050</v>
      </c>
      <c r="N70" s="142">
        <f t="shared" si="6"/>
        <v>15.625</v>
      </c>
      <c r="O70">
        <f>ROW()</f>
        <v>70</v>
      </c>
    </row>
    <row r="71" spans="3:15" x14ac:dyDescent="0.25">
      <c r="C71">
        <f t="shared" si="7"/>
        <v>2051</v>
      </c>
      <c r="D71" s="142">
        <f t="shared" si="4"/>
        <v>245</v>
      </c>
      <c r="E71">
        <f>ROW()</f>
        <v>71</v>
      </c>
      <c r="H71">
        <f t="shared" si="8"/>
        <v>2051</v>
      </c>
      <c r="I71" s="142">
        <f t="shared" si="5"/>
        <v>204.16666666666606</v>
      </c>
      <c r="J71">
        <f>ROW()</f>
        <v>71</v>
      </c>
      <c r="M71">
        <f t="shared" si="9"/>
        <v>2051</v>
      </c>
      <c r="N71" s="142">
        <f t="shared" si="6"/>
        <v>15.3125</v>
      </c>
      <c r="O71">
        <f>ROW()</f>
        <v>71</v>
      </c>
    </row>
    <row r="72" spans="3:15" x14ac:dyDescent="0.25">
      <c r="C72">
        <f t="shared" si="7"/>
        <v>2052</v>
      </c>
      <c r="D72" s="142">
        <f t="shared" si="4"/>
        <v>240</v>
      </c>
      <c r="E72">
        <f>ROW()</f>
        <v>72</v>
      </c>
      <c r="H72">
        <f t="shared" si="8"/>
        <v>2052</v>
      </c>
      <c r="I72" s="142">
        <f t="shared" si="5"/>
        <v>200</v>
      </c>
      <c r="J72">
        <f>ROW()</f>
        <v>72</v>
      </c>
      <c r="M72">
        <f t="shared" si="9"/>
        <v>2052</v>
      </c>
      <c r="N72" s="142">
        <f t="shared" si="6"/>
        <v>15</v>
      </c>
      <c r="O72">
        <f>ROW()</f>
        <v>72</v>
      </c>
    </row>
    <row r="73" spans="3:15" x14ac:dyDescent="0.25">
      <c r="C73">
        <f t="shared" si="7"/>
        <v>2053</v>
      </c>
      <c r="D73" s="142">
        <f t="shared" si="4"/>
        <v>235</v>
      </c>
      <c r="E73">
        <f>ROW()</f>
        <v>73</v>
      </c>
      <c r="H73">
        <f t="shared" si="8"/>
        <v>2053</v>
      </c>
      <c r="I73" s="142">
        <f t="shared" si="5"/>
        <v>195.83333333333212</v>
      </c>
      <c r="J73">
        <f>ROW()</f>
        <v>73</v>
      </c>
      <c r="M73">
        <f t="shared" si="9"/>
        <v>2053</v>
      </c>
      <c r="N73" s="142">
        <f t="shared" si="6"/>
        <v>14.6875</v>
      </c>
      <c r="O73">
        <f>ROW()</f>
        <v>73</v>
      </c>
    </row>
    <row r="74" spans="3:15" x14ac:dyDescent="0.25">
      <c r="C74">
        <f t="shared" si="7"/>
        <v>2054</v>
      </c>
      <c r="D74" s="142">
        <f t="shared" si="4"/>
        <v>230</v>
      </c>
      <c r="E74">
        <f>ROW()</f>
        <v>74</v>
      </c>
      <c r="H74">
        <f t="shared" si="8"/>
        <v>2054</v>
      </c>
      <c r="I74" s="142">
        <f t="shared" si="5"/>
        <v>191.66666666666606</v>
      </c>
      <c r="J74">
        <f>ROW()</f>
        <v>74</v>
      </c>
      <c r="M74">
        <f t="shared" si="9"/>
        <v>2054</v>
      </c>
      <c r="N74" s="142">
        <f t="shared" si="6"/>
        <v>14.375</v>
      </c>
      <c r="O74">
        <f>ROW()</f>
        <v>74</v>
      </c>
    </row>
    <row r="75" spans="3:15" x14ac:dyDescent="0.25">
      <c r="C75">
        <f t="shared" si="7"/>
        <v>2055</v>
      </c>
      <c r="D75" s="142">
        <f t="shared" si="4"/>
        <v>225</v>
      </c>
      <c r="E75">
        <f>ROW()</f>
        <v>75</v>
      </c>
      <c r="H75">
        <f t="shared" si="8"/>
        <v>2055</v>
      </c>
      <c r="I75" s="142">
        <f t="shared" si="5"/>
        <v>187.5</v>
      </c>
      <c r="J75">
        <f>ROW()</f>
        <v>75</v>
      </c>
      <c r="M75">
        <f t="shared" si="9"/>
        <v>2055</v>
      </c>
      <c r="N75" s="142">
        <f t="shared" si="6"/>
        <v>14.0625</v>
      </c>
      <c r="O75">
        <f>ROW()</f>
        <v>75</v>
      </c>
    </row>
    <row r="76" spans="3:15" x14ac:dyDescent="0.25">
      <c r="C76">
        <f t="shared" si="7"/>
        <v>2056</v>
      </c>
      <c r="D76" s="142">
        <f t="shared" si="4"/>
        <v>220</v>
      </c>
      <c r="E76">
        <f>ROW()</f>
        <v>76</v>
      </c>
      <c r="H76">
        <f t="shared" si="8"/>
        <v>2056</v>
      </c>
      <c r="I76" s="142">
        <f t="shared" si="5"/>
        <v>183.33333333333212</v>
      </c>
      <c r="J76">
        <f>ROW()</f>
        <v>76</v>
      </c>
      <c r="M76">
        <f t="shared" si="9"/>
        <v>2056</v>
      </c>
      <c r="N76" s="142">
        <f t="shared" si="6"/>
        <v>13.75</v>
      </c>
      <c r="O76">
        <f>ROW()</f>
        <v>76</v>
      </c>
    </row>
    <row r="77" spans="3:15" x14ac:dyDescent="0.25">
      <c r="C77">
        <f t="shared" si="7"/>
        <v>2057</v>
      </c>
      <c r="D77" s="142">
        <f t="shared" si="4"/>
        <v>215</v>
      </c>
      <c r="E77">
        <f>ROW()</f>
        <v>77</v>
      </c>
      <c r="H77">
        <f t="shared" si="8"/>
        <v>2057</v>
      </c>
      <c r="I77" s="142">
        <f t="shared" si="5"/>
        <v>179.16666666666606</v>
      </c>
      <c r="J77">
        <f>ROW()</f>
        <v>77</v>
      </c>
      <c r="M77">
        <f t="shared" si="9"/>
        <v>2057</v>
      </c>
      <c r="N77" s="142">
        <f t="shared" si="6"/>
        <v>13.4375</v>
      </c>
      <c r="O77">
        <f>ROW()</f>
        <v>77</v>
      </c>
    </row>
    <row r="78" spans="3:15" x14ac:dyDescent="0.25">
      <c r="C78">
        <f t="shared" si="7"/>
        <v>2058</v>
      </c>
      <c r="D78" s="142">
        <f t="shared" si="4"/>
        <v>210</v>
      </c>
      <c r="E78">
        <f>ROW()</f>
        <v>78</v>
      </c>
      <c r="H78">
        <f t="shared" si="8"/>
        <v>2058</v>
      </c>
      <c r="I78" s="142">
        <f t="shared" si="5"/>
        <v>175</v>
      </c>
      <c r="J78">
        <f>ROW()</f>
        <v>78</v>
      </c>
      <c r="M78">
        <f t="shared" si="9"/>
        <v>2058</v>
      </c>
      <c r="N78" s="142">
        <f t="shared" si="6"/>
        <v>13.125</v>
      </c>
      <c r="O78">
        <f>ROW()</f>
        <v>78</v>
      </c>
    </row>
    <row r="79" spans="3:15" x14ac:dyDescent="0.25">
      <c r="C79">
        <f t="shared" si="7"/>
        <v>2059</v>
      </c>
      <c r="D79" s="142">
        <f t="shared" si="4"/>
        <v>205</v>
      </c>
      <c r="E79">
        <f>ROW()</f>
        <v>79</v>
      </c>
      <c r="H79">
        <f t="shared" si="8"/>
        <v>2059</v>
      </c>
      <c r="I79" s="142">
        <f t="shared" si="5"/>
        <v>170.83333333333212</v>
      </c>
      <c r="J79">
        <f>ROW()</f>
        <v>79</v>
      </c>
      <c r="M79">
        <f t="shared" si="9"/>
        <v>2059</v>
      </c>
      <c r="N79" s="142">
        <f t="shared" si="6"/>
        <v>12.8125</v>
      </c>
      <c r="O79">
        <f>ROW()</f>
        <v>79</v>
      </c>
    </row>
    <row r="80" spans="3:15" x14ac:dyDescent="0.25">
      <c r="C80">
        <f t="shared" ref="C80:C107" si="10">C79+1</f>
        <v>2060</v>
      </c>
      <c r="D80" s="142">
        <f t="shared" si="4"/>
        <v>200</v>
      </c>
      <c r="E80">
        <f>ROW()</f>
        <v>80</v>
      </c>
      <c r="H80">
        <f t="shared" si="8"/>
        <v>2060</v>
      </c>
      <c r="I80" s="142">
        <f t="shared" si="5"/>
        <v>166.66666666666606</v>
      </c>
      <c r="J80">
        <f>ROW()</f>
        <v>80</v>
      </c>
      <c r="M80">
        <f t="shared" si="9"/>
        <v>2060</v>
      </c>
      <c r="N80" s="142">
        <f t="shared" si="6"/>
        <v>12.5</v>
      </c>
      <c r="O80">
        <f>ROW()</f>
        <v>80</v>
      </c>
    </row>
    <row r="81" spans="3:15" x14ac:dyDescent="0.25">
      <c r="C81">
        <f t="shared" si="10"/>
        <v>2061</v>
      </c>
      <c r="D81" s="142">
        <f t="shared" si="4"/>
        <v>195</v>
      </c>
      <c r="E81">
        <f>ROW()</f>
        <v>81</v>
      </c>
      <c r="H81">
        <f t="shared" si="8"/>
        <v>2061</v>
      </c>
      <c r="I81" s="142">
        <f t="shared" si="5"/>
        <v>162.5</v>
      </c>
      <c r="J81">
        <f>ROW()</f>
        <v>81</v>
      </c>
      <c r="M81">
        <f t="shared" si="9"/>
        <v>2061</v>
      </c>
      <c r="N81" s="142">
        <f t="shared" si="6"/>
        <v>12.1875</v>
      </c>
      <c r="O81">
        <f>ROW()</f>
        <v>81</v>
      </c>
    </row>
    <row r="82" spans="3:15" x14ac:dyDescent="0.25">
      <c r="C82">
        <f t="shared" si="10"/>
        <v>2062</v>
      </c>
      <c r="D82" s="142">
        <f t="shared" si="4"/>
        <v>190</v>
      </c>
      <c r="E82">
        <f>ROW()</f>
        <v>82</v>
      </c>
      <c r="H82">
        <f t="shared" si="8"/>
        <v>2062</v>
      </c>
      <c r="I82" s="142">
        <f t="shared" si="5"/>
        <v>158.33333333333212</v>
      </c>
      <c r="J82">
        <f>ROW()</f>
        <v>82</v>
      </c>
      <c r="M82">
        <f t="shared" si="9"/>
        <v>2062</v>
      </c>
      <c r="N82" s="142">
        <f t="shared" si="6"/>
        <v>11.875</v>
      </c>
      <c r="O82">
        <f>ROW()</f>
        <v>82</v>
      </c>
    </row>
    <row r="83" spans="3:15" x14ac:dyDescent="0.25">
      <c r="C83">
        <f t="shared" si="10"/>
        <v>2063</v>
      </c>
      <c r="D83" s="142">
        <f t="shared" si="4"/>
        <v>185</v>
      </c>
      <c r="E83">
        <f>ROW()</f>
        <v>83</v>
      </c>
      <c r="H83">
        <f t="shared" si="8"/>
        <v>2063</v>
      </c>
      <c r="I83" s="142">
        <f t="shared" si="5"/>
        <v>154.16666666666606</v>
      </c>
      <c r="J83">
        <f>ROW()</f>
        <v>83</v>
      </c>
      <c r="M83">
        <f t="shared" si="9"/>
        <v>2063</v>
      </c>
      <c r="N83" s="142">
        <f t="shared" si="6"/>
        <v>11.5625</v>
      </c>
      <c r="O83">
        <f>ROW()</f>
        <v>83</v>
      </c>
    </row>
    <row r="84" spans="3:15" x14ac:dyDescent="0.25">
      <c r="C84">
        <f t="shared" si="10"/>
        <v>2064</v>
      </c>
      <c r="D84" s="142">
        <f t="shared" si="4"/>
        <v>180</v>
      </c>
      <c r="E84">
        <f>ROW()</f>
        <v>84</v>
      </c>
      <c r="H84">
        <f t="shared" si="8"/>
        <v>2064</v>
      </c>
      <c r="I84" s="142">
        <f t="shared" si="5"/>
        <v>150</v>
      </c>
      <c r="J84">
        <f>ROW()</f>
        <v>84</v>
      </c>
      <c r="M84">
        <f t="shared" si="9"/>
        <v>2064</v>
      </c>
      <c r="N84" s="142">
        <f t="shared" si="6"/>
        <v>11.25</v>
      </c>
      <c r="O84">
        <f>ROW()</f>
        <v>84</v>
      </c>
    </row>
    <row r="85" spans="3:15" x14ac:dyDescent="0.25">
      <c r="C85">
        <f t="shared" si="10"/>
        <v>2065</v>
      </c>
      <c r="D85" s="142">
        <f t="shared" si="4"/>
        <v>175</v>
      </c>
      <c r="E85">
        <f>ROW()</f>
        <v>85</v>
      </c>
      <c r="H85">
        <f t="shared" si="8"/>
        <v>2065</v>
      </c>
      <c r="I85" s="142">
        <f t="shared" si="5"/>
        <v>145.83333333333212</v>
      </c>
      <c r="J85">
        <f>ROW()</f>
        <v>85</v>
      </c>
      <c r="M85">
        <f t="shared" si="9"/>
        <v>2065</v>
      </c>
      <c r="N85" s="142">
        <f t="shared" si="6"/>
        <v>10.9375</v>
      </c>
      <c r="O85">
        <f>ROW()</f>
        <v>85</v>
      </c>
    </row>
    <row r="86" spans="3:15" x14ac:dyDescent="0.25">
      <c r="C86">
        <f t="shared" si="10"/>
        <v>2066</v>
      </c>
      <c r="D86" s="142">
        <f t="shared" si="4"/>
        <v>170</v>
      </c>
      <c r="E86">
        <f>ROW()</f>
        <v>86</v>
      </c>
      <c r="H86">
        <f t="shared" si="8"/>
        <v>2066</v>
      </c>
      <c r="I86" s="142">
        <f t="shared" si="5"/>
        <v>141.66666666666606</v>
      </c>
      <c r="J86">
        <f>ROW()</f>
        <v>86</v>
      </c>
      <c r="M86">
        <f t="shared" si="9"/>
        <v>2066</v>
      </c>
      <c r="N86" s="142">
        <f t="shared" si="6"/>
        <v>10.625</v>
      </c>
      <c r="O86">
        <f>ROW()</f>
        <v>86</v>
      </c>
    </row>
    <row r="87" spans="3:15" x14ac:dyDescent="0.25">
      <c r="C87">
        <f t="shared" si="10"/>
        <v>2067</v>
      </c>
      <c r="D87" s="142">
        <f t="shared" si="4"/>
        <v>165</v>
      </c>
      <c r="E87">
        <f>ROW()</f>
        <v>87</v>
      </c>
      <c r="H87">
        <f t="shared" si="8"/>
        <v>2067</v>
      </c>
      <c r="I87" s="142">
        <f t="shared" si="5"/>
        <v>137.5</v>
      </c>
      <c r="J87">
        <f>ROW()</f>
        <v>87</v>
      </c>
      <c r="M87">
        <f t="shared" si="9"/>
        <v>2067</v>
      </c>
      <c r="N87" s="142">
        <f t="shared" si="6"/>
        <v>10.3125</v>
      </c>
      <c r="O87">
        <f>ROW()</f>
        <v>87</v>
      </c>
    </row>
    <row r="88" spans="3:15" x14ac:dyDescent="0.25">
      <c r="C88">
        <f t="shared" si="10"/>
        <v>2068</v>
      </c>
      <c r="D88" s="142">
        <f t="shared" si="4"/>
        <v>160</v>
      </c>
      <c r="E88">
        <f>ROW()</f>
        <v>88</v>
      </c>
      <c r="H88">
        <f t="shared" si="8"/>
        <v>2068</v>
      </c>
      <c r="I88" s="142">
        <f t="shared" si="5"/>
        <v>133.33333333333212</v>
      </c>
      <c r="J88">
        <f>ROW()</f>
        <v>88</v>
      </c>
      <c r="M88">
        <f t="shared" si="9"/>
        <v>2068</v>
      </c>
      <c r="N88" s="142">
        <f t="shared" si="6"/>
        <v>10</v>
      </c>
      <c r="O88">
        <f>ROW()</f>
        <v>88</v>
      </c>
    </row>
    <row r="89" spans="3:15" x14ac:dyDescent="0.25">
      <c r="C89">
        <f t="shared" si="10"/>
        <v>2069</v>
      </c>
      <c r="D89" s="142">
        <f t="shared" si="4"/>
        <v>155</v>
      </c>
      <c r="E89">
        <f>ROW()</f>
        <v>89</v>
      </c>
      <c r="H89">
        <f t="shared" si="8"/>
        <v>2069</v>
      </c>
      <c r="I89" s="142">
        <f t="shared" si="5"/>
        <v>129.16666666666606</v>
      </c>
      <c r="J89">
        <f>ROW()</f>
        <v>89</v>
      </c>
      <c r="M89">
        <f t="shared" si="9"/>
        <v>2069</v>
      </c>
      <c r="N89" s="142">
        <f t="shared" si="6"/>
        <v>9.6875</v>
      </c>
      <c r="O89">
        <f>ROW()</f>
        <v>89</v>
      </c>
    </row>
    <row r="90" spans="3:15" x14ac:dyDescent="0.25">
      <c r="C90">
        <f t="shared" si="10"/>
        <v>2070</v>
      </c>
      <c r="D90" s="142">
        <f t="shared" si="4"/>
        <v>150</v>
      </c>
      <c r="E90">
        <f>ROW()</f>
        <v>90</v>
      </c>
      <c r="H90">
        <f t="shared" si="8"/>
        <v>2070</v>
      </c>
      <c r="I90" s="142">
        <f t="shared" si="5"/>
        <v>125</v>
      </c>
      <c r="J90">
        <f>ROW()</f>
        <v>90</v>
      </c>
      <c r="M90">
        <f t="shared" si="9"/>
        <v>2070</v>
      </c>
      <c r="N90" s="142">
        <f t="shared" si="6"/>
        <v>9.375</v>
      </c>
      <c r="O90">
        <f>ROW()</f>
        <v>90</v>
      </c>
    </row>
    <row r="91" spans="3:15" x14ac:dyDescent="0.25">
      <c r="C91">
        <f t="shared" si="10"/>
        <v>2071</v>
      </c>
      <c r="D91" s="142">
        <f t="shared" si="4"/>
        <v>145</v>
      </c>
      <c r="E91">
        <f>ROW()</f>
        <v>91</v>
      </c>
      <c r="H91">
        <f t="shared" si="8"/>
        <v>2071</v>
      </c>
      <c r="I91" s="142">
        <f t="shared" si="5"/>
        <v>120.83333333333212</v>
      </c>
      <c r="J91">
        <f>ROW()</f>
        <v>91</v>
      </c>
      <c r="M91">
        <f t="shared" si="9"/>
        <v>2071</v>
      </c>
      <c r="N91" s="142">
        <f t="shared" si="6"/>
        <v>9.0625</v>
      </c>
      <c r="O91">
        <f>ROW()</f>
        <v>91</v>
      </c>
    </row>
    <row r="92" spans="3:15" x14ac:dyDescent="0.25">
      <c r="C92">
        <f t="shared" si="10"/>
        <v>2072</v>
      </c>
      <c r="D92" s="142">
        <f t="shared" si="4"/>
        <v>140</v>
      </c>
      <c r="E92">
        <f>ROW()</f>
        <v>92</v>
      </c>
      <c r="H92">
        <f t="shared" si="8"/>
        <v>2072</v>
      </c>
      <c r="I92" s="142">
        <f t="shared" si="5"/>
        <v>116.66666666666606</v>
      </c>
      <c r="J92">
        <f>ROW()</f>
        <v>92</v>
      </c>
      <c r="M92">
        <f t="shared" si="9"/>
        <v>2072</v>
      </c>
      <c r="N92" s="142">
        <f t="shared" si="6"/>
        <v>8.75</v>
      </c>
      <c r="O92">
        <f>ROW()</f>
        <v>92</v>
      </c>
    </row>
    <row r="93" spans="3:15" x14ac:dyDescent="0.25">
      <c r="C93">
        <f t="shared" si="10"/>
        <v>2073</v>
      </c>
      <c r="D93" s="142">
        <f t="shared" si="4"/>
        <v>135</v>
      </c>
      <c r="E93">
        <f>ROW()</f>
        <v>93</v>
      </c>
      <c r="H93">
        <f t="shared" si="8"/>
        <v>2073</v>
      </c>
      <c r="I93" s="142">
        <f t="shared" si="5"/>
        <v>112.5</v>
      </c>
      <c r="J93">
        <f>ROW()</f>
        <v>93</v>
      </c>
      <c r="M93">
        <f t="shared" si="9"/>
        <v>2073</v>
      </c>
      <c r="N93" s="142">
        <f t="shared" si="6"/>
        <v>8.4375</v>
      </c>
      <c r="O93">
        <f>ROW()</f>
        <v>93</v>
      </c>
    </row>
    <row r="94" spans="3:15" x14ac:dyDescent="0.25">
      <c r="C94">
        <f t="shared" si="10"/>
        <v>2074</v>
      </c>
      <c r="D94" s="142">
        <f t="shared" si="4"/>
        <v>130</v>
      </c>
      <c r="E94">
        <f>ROW()</f>
        <v>94</v>
      </c>
      <c r="H94">
        <f t="shared" si="8"/>
        <v>2074</v>
      </c>
      <c r="I94" s="142">
        <f t="shared" si="5"/>
        <v>108.33333333333212</v>
      </c>
      <c r="J94">
        <f>ROW()</f>
        <v>94</v>
      </c>
      <c r="M94">
        <f t="shared" si="9"/>
        <v>2074</v>
      </c>
      <c r="N94" s="142">
        <f t="shared" si="6"/>
        <v>8.125</v>
      </c>
      <c r="O94">
        <f>ROW()</f>
        <v>94</v>
      </c>
    </row>
    <row r="95" spans="3:15" x14ac:dyDescent="0.25">
      <c r="C95">
        <f t="shared" si="10"/>
        <v>2075</v>
      </c>
      <c r="D95" s="142">
        <f t="shared" si="4"/>
        <v>125</v>
      </c>
      <c r="E95">
        <f>ROW()</f>
        <v>95</v>
      </c>
      <c r="H95">
        <f t="shared" si="8"/>
        <v>2075</v>
      </c>
      <c r="I95" s="142">
        <f t="shared" si="5"/>
        <v>104.16666666666606</v>
      </c>
      <c r="J95">
        <f>ROW()</f>
        <v>95</v>
      </c>
      <c r="M95">
        <f t="shared" si="9"/>
        <v>2075</v>
      </c>
      <c r="N95" s="142">
        <f t="shared" si="6"/>
        <v>7.8125</v>
      </c>
      <c r="O95">
        <f>ROW()</f>
        <v>95</v>
      </c>
    </row>
    <row r="96" spans="3:15" x14ac:dyDescent="0.25">
      <c r="C96">
        <f t="shared" si="10"/>
        <v>2076</v>
      </c>
      <c r="D96" s="142">
        <f t="shared" si="4"/>
        <v>120</v>
      </c>
      <c r="E96">
        <f>ROW()</f>
        <v>96</v>
      </c>
      <c r="H96">
        <f t="shared" si="8"/>
        <v>2076</v>
      </c>
      <c r="I96" s="142">
        <f t="shared" si="5"/>
        <v>100</v>
      </c>
      <c r="J96">
        <f>ROW()</f>
        <v>96</v>
      </c>
      <c r="M96">
        <f t="shared" si="9"/>
        <v>2076</v>
      </c>
      <c r="N96" s="142">
        <f t="shared" si="6"/>
        <v>7.5</v>
      </c>
      <c r="O96">
        <f>ROW()</f>
        <v>96</v>
      </c>
    </row>
    <row r="97" spans="3:15" x14ac:dyDescent="0.25">
      <c r="C97">
        <f t="shared" si="10"/>
        <v>2077</v>
      </c>
      <c r="D97" s="142">
        <f t="shared" si="4"/>
        <v>115</v>
      </c>
      <c r="E97">
        <f>ROW()</f>
        <v>97</v>
      </c>
      <c r="H97">
        <f t="shared" si="8"/>
        <v>2077</v>
      </c>
      <c r="I97" s="142">
        <f t="shared" si="5"/>
        <v>95.833333333332121</v>
      </c>
      <c r="J97">
        <f>ROW()</f>
        <v>97</v>
      </c>
      <c r="M97">
        <f t="shared" si="9"/>
        <v>2077</v>
      </c>
      <c r="N97" s="142">
        <f t="shared" si="6"/>
        <v>7.1875</v>
      </c>
      <c r="O97">
        <f>ROW()</f>
        <v>97</v>
      </c>
    </row>
    <row r="98" spans="3:15" x14ac:dyDescent="0.25">
      <c r="C98">
        <f t="shared" si="10"/>
        <v>2078</v>
      </c>
      <c r="D98" s="142">
        <f t="shared" si="4"/>
        <v>110</v>
      </c>
      <c r="E98">
        <f>ROW()</f>
        <v>98</v>
      </c>
      <c r="H98">
        <f t="shared" si="8"/>
        <v>2078</v>
      </c>
      <c r="I98" s="142">
        <f t="shared" si="5"/>
        <v>91.66666666666606</v>
      </c>
      <c r="J98">
        <f>ROW()</f>
        <v>98</v>
      </c>
      <c r="M98">
        <f t="shared" si="9"/>
        <v>2078</v>
      </c>
      <c r="N98" s="142">
        <f t="shared" si="6"/>
        <v>6.875</v>
      </c>
      <c r="O98">
        <f>ROW()</f>
        <v>98</v>
      </c>
    </row>
    <row r="99" spans="3:15" x14ac:dyDescent="0.25">
      <c r="C99">
        <f t="shared" si="10"/>
        <v>2079</v>
      </c>
      <c r="D99" s="142">
        <f t="shared" si="4"/>
        <v>105</v>
      </c>
      <c r="E99">
        <f>ROW()</f>
        <v>99</v>
      </c>
      <c r="H99">
        <f t="shared" si="8"/>
        <v>2079</v>
      </c>
      <c r="I99" s="142">
        <f t="shared" si="5"/>
        <v>87.5</v>
      </c>
      <c r="J99">
        <f>ROW()</f>
        <v>99</v>
      </c>
      <c r="M99">
        <f t="shared" si="9"/>
        <v>2079</v>
      </c>
      <c r="N99" s="142">
        <f t="shared" si="6"/>
        <v>6.5625</v>
      </c>
      <c r="O99">
        <f>ROW()</f>
        <v>99</v>
      </c>
    </row>
    <row r="100" spans="3:15" x14ac:dyDescent="0.25">
      <c r="C100">
        <f t="shared" si="10"/>
        <v>2080</v>
      </c>
      <c r="D100" s="142">
        <f t="shared" si="4"/>
        <v>100</v>
      </c>
      <c r="E100">
        <f>ROW()</f>
        <v>100</v>
      </c>
      <c r="H100">
        <f t="shared" si="8"/>
        <v>2080</v>
      </c>
      <c r="I100" s="142">
        <f t="shared" si="5"/>
        <v>83.333333333332121</v>
      </c>
      <c r="J100">
        <f>ROW()</f>
        <v>100</v>
      </c>
      <c r="M100">
        <f t="shared" si="9"/>
        <v>2080</v>
      </c>
      <c r="N100" s="142">
        <f t="shared" si="6"/>
        <v>6.25</v>
      </c>
      <c r="O100">
        <f>ROW()</f>
        <v>100</v>
      </c>
    </row>
    <row r="101" spans="3:15" x14ac:dyDescent="0.25">
      <c r="C101">
        <f t="shared" si="10"/>
        <v>2081</v>
      </c>
      <c r="D101" s="142">
        <f t="shared" si="4"/>
        <v>95</v>
      </c>
      <c r="E101">
        <f>ROW()</f>
        <v>101</v>
      </c>
      <c r="H101">
        <f t="shared" si="8"/>
        <v>2081</v>
      </c>
      <c r="I101" s="142">
        <f t="shared" si="5"/>
        <v>79.16666666666606</v>
      </c>
      <c r="J101">
        <f>ROW()</f>
        <v>101</v>
      </c>
      <c r="M101">
        <f t="shared" si="9"/>
        <v>2081</v>
      </c>
      <c r="N101" s="142">
        <f t="shared" si="6"/>
        <v>5.9375</v>
      </c>
      <c r="O101">
        <f>ROW()</f>
        <v>101</v>
      </c>
    </row>
    <row r="102" spans="3:15" x14ac:dyDescent="0.25">
      <c r="C102">
        <f t="shared" si="10"/>
        <v>2082</v>
      </c>
      <c r="D102" s="142">
        <f t="shared" si="4"/>
        <v>90</v>
      </c>
      <c r="E102">
        <f>ROW()</f>
        <v>102</v>
      </c>
      <c r="H102">
        <f t="shared" si="8"/>
        <v>2082</v>
      </c>
      <c r="I102" s="142">
        <f t="shared" si="5"/>
        <v>75</v>
      </c>
      <c r="J102">
        <f>ROW()</f>
        <v>102</v>
      </c>
      <c r="M102">
        <f t="shared" si="9"/>
        <v>2082</v>
      </c>
      <c r="N102" s="142">
        <f t="shared" si="6"/>
        <v>5.625</v>
      </c>
      <c r="O102">
        <f>ROW()</f>
        <v>102</v>
      </c>
    </row>
    <row r="103" spans="3:15" x14ac:dyDescent="0.25">
      <c r="C103">
        <f t="shared" si="10"/>
        <v>2083</v>
      </c>
      <c r="D103" s="142">
        <f t="shared" si="4"/>
        <v>85</v>
      </c>
      <c r="E103">
        <f>ROW()</f>
        <v>103</v>
      </c>
      <c r="H103">
        <f t="shared" si="8"/>
        <v>2083</v>
      </c>
      <c r="I103" s="142">
        <f t="shared" si="5"/>
        <v>70.833333333332121</v>
      </c>
      <c r="J103">
        <f>ROW()</f>
        <v>103</v>
      </c>
      <c r="M103">
        <f t="shared" si="9"/>
        <v>2083</v>
      </c>
      <c r="N103" s="142">
        <f t="shared" si="6"/>
        <v>5.3125</v>
      </c>
      <c r="O103">
        <f>ROW()</f>
        <v>103</v>
      </c>
    </row>
    <row r="104" spans="3:15" x14ac:dyDescent="0.25">
      <c r="C104">
        <f t="shared" si="10"/>
        <v>2084</v>
      </c>
      <c r="D104" s="142">
        <f t="shared" si="4"/>
        <v>80</v>
      </c>
      <c r="E104">
        <f>ROW()</f>
        <v>104</v>
      </c>
      <c r="H104">
        <f t="shared" si="8"/>
        <v>2084</v>
      </c>
      <c r="I104" s="142">
        <f t="shared" si="5"/>
        <v>66.66666666666606</v>
      </c>
      <c r="J104">
        <f>ROW()</f>
        <v>104</v>
      </c>
      <c r="M104">
        <f t="shared" si="9"/>
        <v>2084</v>
      </c>
      <c r="N104" s="142">
        <f t="shared" si="6"/>
        <v>5</v>
      </c>
      <c r="O104">
        <f>ROW()</f>
        <v>104</v>
      </c>
    </row>
    <row r="105" spans="3:15" x14ac:dyDescent="0.25">
      <c r="C105">
        <f t="shared" si="10"/>
        <v>2085</v>
      </c>
      <c r="D105" s="142">
        <f t="shared" ref="D105:D168" si="11">IF(C105&lt;$C$34,$D$34,MAX(C105*$E$34+$E$35,0))</f>
        <v>75</v>
      </c>
      <c r="E105">
        <f>ROW()</f>
        <v>105</v>
      </c>
      <c r="H105">
        <f t="shared" si="8"/>
        <v>2085</v>
      </c>
      <c r="I105" s="142">
        <f t="shared" ref="I105:I168" si="12">IF(H105&lt;$H$34,$I$34,MAX(H105*$J$34+$J$35,0))</f>
        <v>62.5</v>
      </c>
      <c r="J105">
        <f>ROW()</f>
        <v>105</v>
      </c>
      <c r="M105">
        <f t="shared" si="9"/>
        <v>2085</v>
      </c>
      <c r="N105" s="142">
        <f t="shared" ref="N105:N168" si="13">IF(M105&lt;$M$34,$N$34,MAX(M105*$O$34+$O$35,0))</f>
        <v>4.6875</v>
      </c>
      <c r="O105">
        <f>ROW()</f>
        <v>105</v>
      </c>
    </row>
    <row r="106" spans="3:15" x14ac:dyDescent="0.25">
      <c r="C106">
        <f t="shared" si="10"/>
        <v>2086</v>
      </c>
      <c r="D106" s="142">
        <f t="shared" si="11"/>
        <v>70</v>
      </c>
      <c r="E106">
        <f>ROW()</f>
        <v>106</v>
      </c>
      <c r="H106">
        <f t="shared" ref="H106:H169" si="14">H105+1</f>
        <v>2086</v>
      </c>
      <c r="I106" s="142">
        <f t="shared" si="12"/>
        <v>58.333333333332121</v>
      </c>
      <c r="J106">
        <f>ROW()</f>
        <v>106</v>
      </c>
      <c r="M106">
        <f t="shared" ref="M106:M169" si="15">M105+1</f>
        <v>2086</v>
      </c>
      <c r="N106" s="142">
        <f t="shared" si="13"/>
        <v>4.375</v>
      </c>
      <c r="O106">
        <f>ROW()</f>
        <v>106</v>
      </c>
    </row>
    <row r="107" spans="3:15" x14ac:dyDescent="0.25">
      <c r="C107">
        <f t="shared" si="10"/>
        <v>2087</v>
      </c>
      <c r="D107" s="142">
        <f t="shared" si="11"/>
        <v>65</v>
      </c>
      <c r="E107">
        <f>ROW()</f>
        <v>107</v>
      </c>
      <c r="H107">
        <f t="shared" si="14"/>
        <v>2087</v>
      </c>
      <c r="I107" s="142">
        <f t="shared" si="12"/>
        <v>54.16666666666606</v>
      </c>
      <c r="J107">
        <f>ROW()</f>
        <v>107</v>
      </c>
      <c r="M107">
        <f t="shared" si="15"/>
        <v>2087</v>
      </c>
      <c r="N107" s="142">
        <f t="shared" si="13"/>
        <v>4.0625</v>
      </c>
      <c r="O107">
        <f>ROW()</f>
        <v>107</v>
      </c>
    </row>
    <row r="108" spans="3:15" x14ac:dyDescent="0.25">
      <c r="C108">
        <f t="shared" ref="C108:C121" si="16">C107+1</f>
        <v>2088</v>
      </c>
      <c r="D108" s="142">
        <f t="shared" si="11"/>
        <v>60</v>
      </c>
      <c r="E108">
        <f>ROW()</f>
        <v>108</v>
      </c>
      <c r="H108">
        <f t="shared" si="14"/>
        <v>2088</v>
      </c>
      <c r="I108" s="142">
        <f t="shared" si="12"/>
        <v>50</v>
      </c>
      <c r="J108">
        <f>ROW()</f>
        <v>108</v>
      </c>
      <c r="M108">
        <f t="shared" si="15"/>
        <v>2088</v>
      </c>
      <c r="N108" s="142">
        <f t="shared" si="13"/>
        <v>3.75</v>
      </c>
      <c r="O108">
        <f>ROW()</f>
        <v>108</v>
      </c>
    </row>
    <row r="109" spans="3:15" x14ac:dyDescent="0.25">
      <c r="C109">
        <f t="shared" si="16"/>
        <v>2089</v>
      </c>
      <c r="D109" s="142">
        <f t="shared" si="11"/>
        <v>55</v>
      </c>
      <c r="E109">
        <f>ROW()</f>
        <v>109</v>
      </c>
      <c r="H109">
        <f t="shared" si="14"/>
        <v>2089</v>
      </c>
      <c r="I109" s="142">
        <f t="shared" si="12"/>
        <v>45.833333333332121</v>
      </c>
      <c r="J109">
        <f>ROW()</f>
        <v>109</v>
      </c>
      <c r="M109">
        <f t="shared" si="15"/>
        <v>2089</v>
      </c>
      <c r="N109" s="142">
        <f t="shared" si="13"/>
        <v>3.4375</v>
      </c>
      <c r="O109">
        <f>ROW()</f>
        <v>109</v>
      </c>
    </row>
    <row r="110" spans="3:15" x14ac:dyDescent="0.25">
      <c r="C110">
        <f t="shared" si="16"/>
        <v>2090</v>
      </c>
      <c r="D110" s="142">
        <f t="shared" si="11"/>
        <v>50</v>
      </c>
      <c r="E110">
        <f>ROW()</f>
        <v>110</v>
      </c>
      <c r="H110">
        <f t="shared" si="14"/>
        <v>2090</v>
      </c>
      <c r="I110" s="142">
        <f t="shared" si="12"/>
        <v>41.66666666666606</v>
      </c>
      <c r="J110">
        <f>ROW()</f>
        <v>110</v>
      </c>
      <c r="M110">
        <f t="shared" si="15"/>
        <v>2090</v>
      </c>
      <c r="N110" s="142">
        <f t="shared" si="13"/>
        <v>3.125</v>
      </c>
      <c r="O110">
        <f>ROW()</f>
        <v>110</v>
      </c>
    </row>
    <row r="111" spans="3:15" x14ac:dyDescent="0.25">
      <c r="C111">
        <f t="shared" si="16"/>
        <v>2091</v>
      </c>
      <c r="D111" s="142">
        <f t="shared" si="11"/>
        <v>45</v>
      </c>
      <c r="E111">
        <f>ROW()</f>
        <v>111</v>
      </c>
      <c r="H111">
        <f t="shared" si="14"/>
        <v>2091</v>
      </c>
      <c r="I111" s="142">
        <f t="shared" si="12"/>
        <v>37.5</v>
      </c>
      <c r="J111">
        <f>ROW()</f>
        <v>111</v>
      </c>
      <c r="M111">
        <f t="shared" si="15"/>
        <v>2091</v>
      </c>
      <c r="N111" s="142">
        <f t="shared" si="13"/>
        <v>2.8125</v>
      </c>
      <c r="O111">
        <f>ROW()</f>
        <v>111</v>
      </c>
    </row>
    <row r="112" spans="3:15" x14ac:dyDescent="0.25">
      <c r="C112">
        <f t="shared" si="16"/>
        <v>2092</v>
      </c>
      <c r="D112" s="142">
        <f t="shared" si="11"/>
        <v>40</v>
      </c>
      <c r="E112">
        <f>ROW()</f>
        <v>112</v>
      </c>
      <c r="H112">
        <f t="shared" si="14"/>
        <v>2092</v>
      </c>
      <c r="I112" s="142">
        <f t="shared" si="12"/>
        <v>33.333333333332121</v>
      </c>
      <c r="J112">
        <f>ROW()</f>
        <v>112</v>
      </c>
      <c r="M112">
        <f t="shared" si="15"/>
        <v>2092</v>
      </c>
      <c r="N112" s="142">
        <f t="shared" si="13"/>
        <v>2.5</v>
      </c>
      <c r="O112">
        <f>ROW()</f>
        <v>112</v>
      </c>
    </row>
    <row r="113" spans="3:15" x14ac:dyDescent="0.25">
      <c r="C113">
        <f t="shared" si="16"/>
        <v>2093</v>
      </c>
      <c r="D113" s="142">
        <f t="shared" si="11"/>
        <v>35</v>
      </c>
      <c r="E113">
        <f>ROW()</f>
        <v>113</v>
      </c>
      <c r="H113">
        <f t="shared" si="14"/>
        <v>2093</v>
      </c>
      <c r="I113" s="142">
        <f t="shared" si="12"/>
        <v>29.16666666666606</v>
      </c>
      <c r="J113">
        <f>ROW()</f>
        <v>113</v>
      </c>
      <c r="M113">
        <f t="shared" si="15"/>
        <v>2093</v>
      </c>
      <c r="N113" s="142">
        <f t="shared" si="13"/>
        <v>2.1875</v>
      </c>
      <c r="O113">
        <f>ROW()</f>
        <v>113</v>
      </c>
    </row>
    <row r="114" spans="3:15" x14ac:dyDescent="0.25">
      <c r="C114">
        <f t="shared" si="16"/>
        <v>2094</v>
      </c>
      <c r="D114" s="142">
        <f t="shared" si="11"/>
        <v>30</v>
      </c>
      <c r="E114">
        <f>ROW()</f>
        <v>114</v>
      </c>
      <c r="H114">
        <f t="shared" si="14"/>
        <v>2094</v>
      </c>
      <c r="I114" s="142">
        <f t="shared" si="12"/>
        <v>25</v>
      </c>
      <c r="J114">
        <f>ROW()</f>
        <v>114</v>
      </c>
      <c r="M114">
        <f t="shared" si="15"/>
        <v>2094</v>
      </c>
      <c r="N114" s="142">
        <f t="shared" si="13"/>
        <v>1.875</v>
      </c>
      <c r="O114">
        <f>ROW()</f>
        <v>114</v>
      </c>
    </row>
    <row r="115" spans="3:15" x14ac:dyDescent="0.25">
      <c r="C115">
        <f t="shared" si="16"/>
        <v>2095</v>
      </c>
      <c r="D115" s="142">
        <f t="shared" si="11"/>
        <v>25</v>
      </c>
      <c r="E115">
        <f>ROW()</f>
        <v>115</v>
      </c>
      <c r="H115">
        <f t="shared" si="14"/>
        <v>2095</v>
      </c>
      <c r="I115" s="142">
        <f t="shared" si="12"/>
        <v>20.833333333332121</v>
      </c>
      <c r="J115">
        <f>ROW()</f>
        <v>115</v>
      </c>
      <c r="M115">
        <f t="shared" si="15"/>
        <v>2095</v>
      </c>
      <c r="N115" s="142">
        <f t="shared" si="13"/>
        <v>1.5625</v>
      </c>
      <c r="O115">
        <f>ROW()</f>
        <v>115</v>
      </c>
    </row>
    <row r="116" spans="3:15" x14ac:dyDescent="0.25">
      <c r="C116">
        <f t="shared" si="16"/>
        <v>2096</v>
      </c>
      <c r="D116" s="142">
        <f t="shared" si="11"/>
        <v>20</v>
      </c>
      <c r="E116">
        <f>ROW()</f>
        <v>116</v>
      </c>
      <c r="H116">
        <f t="shared" si="14"/>
        <v>2096</v>
      </c>
      <c r="I116" s="142">
        <f t="shared" si="12"/>
        <v>16.66666666666606</v>
      </c>
      <c r="J116">
        <f>ROW()</f>
        <v>116</v>
      </c>
      <c r="M116">
        <f t="shared" si="15"/>
        <v>2096</v>
      </c>
      <c r="N116" s="142">
        <f t="shared" si="13"/>
        <v>1.25</v>
      </c>
      <c r="O116">
        <f>ROW()</f>
        <v>116</v>
      </c>
    </row>
    <row r="117" spans="3:15" x14ac:dyDescent="0.25">
      <c r="C117">
        <f t="shared" si="16"/>
        <v>2097</v>
      </c>
      <c r="D117" s="142">
        <f t="shared" si="11"/>
        <v>15</v>
      </c>
      <c r="E117">
        <f>ROW()</f>
        <v>117</v>
      </c>
      <c r="H117">
        <f t="shared" si="14"/>
        <v>2097</v>
      </c>
      <c r="I117" s="142">
        <f t="shared" si="12"/>
        <v>12.5</v>
      </c>
      <c r="J117">
        <f>ROW()</f>
        <v>117</v>
      </c>
      <c r="M117">
        <f t="shared" si="15"/>
        <v>2097</v>
      </c>
      <c r="N117" s="142">
        <f t="shared" si="13"/>
        <v>0.9375</v>
      </c>
      <c r="O117">
        <f>ROW()</f>
        <v>117</v>
      </c>
    </row>
    <row r="118" spans="3:15" x14ac:dyDescent="0.25">
      <c r="C118">
        <f t="shared" si="16"/>
        <v>2098</v>
      </c>
      <c r="D118" s="142">
        <f t="shared" si="11"/>
        <v>10</v>
      </c>
      <c r="E118">
        <f>ROW()</f>
        <v>118</v>
      </c>
      <c r="H118">
        <f t="shared" si="14"/>
        <v>2098</v>
      </c>
      <c r="I118" s="142">
        <f t="shared" si="12"/>
        <v>8.3333333333321207</v>
      </c>
      <c r="J118">
        <f>ROW()</f>
        <v>118</v>
      </c>
      <c r="M118">
        <f t="shared" si="15"/>
        <v>2098</v>
      </c>
      <c r="N118" s="142">
        <f t="shared" si="13"/>
        <v>0.625</v>
      </c>
      <c r="O118">
        <f>ROW()</f>
        <v>118</v>
      </c>
    </row>
    <row r="119" spans="3:15" x14ac:dyDescent="0.25">
      <c r="C119">
        <f t="shared" si="16"/>
        <v>2099</v>
      </c>
      <c r="D119" s="142">
        <f t="shared" si="11"/>
        <v>5</v>
      </c>
      <c r="E119">
        <f>ROW()</f>
        <v>119</v>
      </c>
      <c r="H119">
        <f t="shared" si="14"/>
        <v>2099</v>
      </c>
      <c r="I119" s="142">
        <f t="shared" si="12"/>
        <v>4.1666666666660603</v>
      </c>
      <c r="J119">
        <f>ROW()</f>
        <v>119</v>
      </c>
      <c r="M119">
        <f t="shared" si="15"/>
        <v>2099</v>
      </c>
      <c r="N119" s="142">
        <f t="shared" si="13"/>
        <v>0.3125</v>
      </c>
      <c r="O119">
        <f>ROW()</f>
        <v>119</v>
      </c>
    </row>
    <row r="120" spans="3:15" x14ac:dyDescent="0.25">
      <c r="C120">
        <f t="shared" si="16"/>
        <v>2100</v>
      </c>
      <c r="D120" s="142">
        <f t="shared" si="11"/>
        <v>0</v>
      </c>
      <c r="E120">
        <f>ROW()</f>
        <v>120</v>
      </c>
      <c r="H120">
        <f t="shared" si="14"/>
        <v>2100</v>
      </c>
      <c r="I120" s="142">
        <f t="shared" si="12"/>
        <v>0</v>
      </c>
      <c r="J120">
        <f>ROW()</f>
        <v>120</v>
      </c>
      <c r="M120">
        <f t="shared" si="15"/>
        <v>2100</v>
      </c>
      <c r="N120" s="142">
        <f t="shared" si="13"/>
        <v>0</v>
      </c>
      <c r="O120">
        <f>ROW()</f>
        <v>120</v>
      </c>
    </row>
    <row r="121" spans="3:15" x14ac:dyDescent="0.25">
      <c r="C121">
        <f t="shared" si="16"/>
        <v>2101</v>
      </c>
      <c r="D121" s="142">
        <f t="shared" si="11"/>
        <v>0</v>
      </c>
      <c r="E121">
        <f>ROW()</f>
        <v>121</v>
      </c>
      <c r="H121">
        <f t="shared" si="14"/>
        <v>2101</v>
      </c>
      <c r="I121" s="142">
        <f t="shared" si="12"/>
        <v>0</v>
      </c>
      <c r="J121">
        <f>ROW()</f>
        <v>121</v>
      </c>
      <c r="M121">
        <f t="shared" si="15"/>
        <v>2101</v>
      </c>
      <c r="N121" s="142">
        <f t="shared" si="13"/>
        <v>0</v>
      </c>
      <c r="O121">
        <f>ROW()</f>
        <v>121</v>
      </c>
    </row>
    <row r="122" spans="3:15" x14ac:dyDescent="0.25">
      <c r="C122">
        <f t="shared" ref="C122:C170" si="17">C121+1</f>
        <v>2102</v>
      </c>
      <c r="D122" s="142">
        <f t="shared" si="11"/>
        <v>0</v>
      </c>
      <c r="E122">
        <f>ROW()</f>
        <v>122</v>
      </c>
      <c r="H122">
        <f t="shared" si="14"/>
        <v>2102</v>
      </c>
      <c r="I122" s="142">
        <f t="shared" si="12"/>
        <v>0</v>
      </c>
      <c r="J122">
        <f>ROW()</f>
        <v>122</v>
      </c>
      <c r="M122">
        <f t="shared" si="15"/>
        <v>2102</v>
      </c>
      <c r="N122" s="142">
        <f t="shared" si="13"/>
        <v>0</v>
      </c>
      <c r="O122">
        <f>ROW()</f>
        <v>122</v>
      </c>
    </row>
    <row r="123" spans="3:15" x14ac:dyDescent="0.25">
      <c r="C123">
        <f t="shared" si="17"/>
        <v>2103</v>
      </c>
      <c r="D123" s="142">
        <f t="shared" si="11"/>
        <v>0</v>
      </c>
      <c r="E123">
        <f>ROW()</f>
        <v>123</v>
      </c>
      <c r="H123">
        <f t="shared" si="14"/>
        <v>2103</v>
      </c>
      <c r="I123" s="142">
        <f t="shared" si="12"/>
        <v>0</v>
      </c>
      <c r="J123">
        <f>ROW()</f>
        <v>123</v>
      </c>
      <c r="M123">
        <f t="shared" si="15"/>
        <v>2103</v>
      </c>
      <c r="N123" s="142">
        <f t="shared" si="13"/>
        <v>0</v>
      </c>
      <c r="O123">
        <f>ROW()</f>
        <v>123</v>
      </c>
    </row>
    <row r="124" spans="3:15" x14ac:dyDescent="0.25">
      <c r="C124">
        <f t="shared" si="17"/>
        <v>2104</v>
      </c>
      <c r="D124" s="142">
        <f t="shared" si="11"/>
        <v>0</v>
      </c>
      <c r="E124">
        <f>ROW()</f>
        <v>124</v>
      </c>
      <c r="H124">
        <f t="shared" si="14"/>
        <v>2104</v>
      </c>
      <c r="I124" s="142">
        <f t="shared" si="12"/>
        <v>0</v>
      </c>
      <c r="J124">
        <f>ROW()</f>
        <v>124</v>
      </c>
      <c r="M124">
        <f t="shared" si="15"/>
        <v>2104</v>
      </c>
      <c r="N124" s="142">
        <f t="shared" si="13"/>
        <v>0</v>
      </c>
      <c r="O124">
        <f>ROW()</f>
        <v>124</v>
      </c>
    </row>
    <row r="125" spans="3:15" x14ac:dyDescent="0.25">
      <c r="C125">
        <f t="shared" si="17"/>
        <v>2105</v>
      </c>
      <c r="D125" s="142">
        <f t="shared" si="11"/>
        <v>0</v>
      </c>
      <c r="E125">
        <f>ROW()</f>
        <v>125</v>
      </c>
      <c r="H125">
        <f t="shared" si="14"/>
        <v>2105</v>
      </c>
      <c r="I125" s="142">
        <f t="shared" si="12"/>
        <v>0</v>
      </c>
      <c r="J125">
        <f>ROW()</f>
        <v>125</v>
      </c>
      <c r="M125">
        <f t="shared" si="15"/>
        <v>2105</v>
      </c>
      <c r="N125" s="142">
        <f t="shared" si="13"/>
        <v>0</v>
      </c>
      <c r="O125">
        <f>ROW()</f>
        <v>125</v>
      </c>
    </row>
    <row r="126" spans="3:15" x14ac:dyDescent="0.25">
      <c r="C126">
        <f t="shared" si="17"/>
        <v>2106</v>
      </c>
      <c r="D126" s="142">
        <f t="shared" si="11"/>
        <v>0</v>
      </c>
      <c r="E126">
        <f>ROW()</f>
        <v>126</v>
      </c>
      <c r="H126">
        <f t="shared" si="14"/>
        <v>2106</v>
      </c>
      <c r="I126" s="142">
        <f t="shared" si="12"/>
        <v>0</v>
      </c>
      <c r="J126">
        <f>ROW()</f>
        <v>126</v>
      </c>
      <c r="M126">
        <f t="shared" si="15"/>
        <v>2106</v>
      </c>
      <c r="N126" s="142">
        <f t="shared" si="13"/>
        <v>0</v>
      </c>
      <c r="O126">
        <f>ROW()</f>
        <v>126</v>
      </c>
    </row>
    <row r="127" spans="3:15" x14ac:dyDescent="0.25">
      <c r="C127">
        <f t="shared" si="17"/>
        <v>2107</v>
      </c>
      <c r="D127" s="142">
        <f t="shared" si="11"/>
        <v>0</v>
      </c>
      <c r="E127">
        <f>ROW()</f>
        <v>127</v>
      </c>
      <c r="H127">
        <f t="shared" si="14"/>
        <v>2107</v>
      </c>
      <c r="I127" s="142">
        <f t="shared" si="12"/>
        <v>0</v>
      </c>
      <c r="J127">
        <f>ROW()</f>
        <v>127</v>
      </c>
      <c r="M127">
        <f t="shared" si="15"/>
        <v>2107</v>
      </c>
      <c r="N127" s="142">
        <f t="shared" si="13"/>
        <v>0</v>
      </c>
      <c r="O127">
        <f>ROW()</f>
        <v>127</v>
      </c>
    </row>
    <row r="128" spans="3:15" x14ac:dyDescent="0.25">
      <c r="C128">
        <f t="shared" si="17"/>
        <v>2108</v>
      </c>
      <c r="D128" s="142">
        <f t="shared" si="11"/>
        <v>0</v>
      </c>
      <c r="E128">
        <f>ROW()</f>
        <v>128</v>
      </c>
      <c r="H128">
        <f t="shared" si="14"/>
        <v>2108</v>
      </c>
      <c r="I128" s="142">
        <f t="shared" si="12"/>
        <v>0</v>
      </c>
      <c r="J128">
        <f>ROW()</f>
        <v>128</v>
      </c>
      <c r="M128">
        <f t="shared" si="15"/>
        <v>2108</v>
      </c>
      <c r="N128" s="142">
        <f t="shared" si="13"/>
        <v>0</v>
      </c>
      <c r="O128">
        <f>ROW()</f>
        <v>128</v>
      </c>
    </row>
    <row r="129" spans="3:15" x14ac:dyDescent="0.25">
      <c r="C129">
        <f t="shared" si="17"/>
        <v>2109</v>
      </c>
      <c r="D129" s="142">
        <f t="shared" si="11"/>
        <v>0</v>
      </c>
      <c r="E129">
        <f>ROW()</f>
        <v>129</v>
      </c>
      <c r="H129">
        <f t="shared" si="14"/>
        <v>2109</v>
      </c>
      <c r="I129" s="142">
        <f t="shared" si="12"/>
        <v>0</v>
      </c>
      <c r="J129">
        <f>ROW()</f>
        <v>129</v>
      </c>
      <c r="M129">
        <f t="shared" si="15"/>
        <v>2109</v>
      </c>
      <c r="N129" s="142">
        <f t="shared" si="13"/>
        <v>0</v>
      </c>
      <c r="O129">
        <f>ROW()</f>
        <v>129</v>
      </c>
    </row>
    <row r="130" spans="3:15" x14ac:dyDescent="0.25">
      <c r="C130">
        <f t="shared" si="17"/>
        <v>2110</v>
      </c>
      <c r="D130" s="142">
        <f t="shared" si="11"/>
        <v>0</v>
      </c>
      <c r="E130">
        <f>ROW()</f>
        <v>130</v>
      </c>
      <c r="H130">
        <f t="shared" si="14"/>
        <v>2110</v>
      </c>
      <c r="I130" s="142">
        <f t="shared" si="12"/>
        <v>0</v>
      </c>
      <c r="J130">
        <f>ROW()</f>
        <v>130</v>
      </c>
      <c r="M130">
        <f t="shared" si="15"/>
        <v>2110</v>
      </c>
      <c r="N130" s="142">
        <f t="shared" si="13"/>
        <v>0</v>
      </c>
      <c r="O130">
        <f>ROW()</f>
        <v>130</v>
      </c>
    </row>
    <row r="131" spans="3:15" x14ac:dyDescent="0.25">
      <c r="C131">
        <f t="shared" si="17"/>
        <v>2111</v>
      </c>
      <c r="D131" s="142">
        <f t="shared" si="11"/>
        <v>0</v>
      </c>
      <c r="E131">
        <f>ROW()</f>
        <v>131</v>
      </c>
      <c r="H131">
        <f t="shared" si="14"/>
        <v>2111</v>
      </c>
      <c r="I131" s="142">
        <f t="shared" si="12"/>
        <v>0</v>
      </c>
      <c r="J131">
        <f>ROW()</f>
        <v>131</v>
      </c>
      <c r="M131">
        <f t="shared" si="15"/>
        <v>2111</v>
      </c>
      <c r="N131" s="142">
        <f t="shared" si="13"/>
        <v>0</v>
      </c>
      <c r="O131">
        <f>ROW()</f>
        <v>131</v>
      </c>
    </row>
    <row r="132" spans="3:15" x14ac:dyDescent="0.25">
      <c r="C132">
        <f t="shared" si="17"/>
        <v>2112</v>
      </c>
      <c r="D132" s="142">
        <f t="shared" si="11"/>
        <v>0</v>
      </c>
      <c r="E132">
        <f>ROW()</f>
        <v>132</v>
      </c>
      <c r="H132">
        <f t="shared" si="14"/>
        <v>2112</v>
      </c>
      <c r="I132" s="142">
        <f t="shared" si="12"/>
        <v>0</v>
      </c>
      <c r="J132">
        <f>ROW()</f>
        <v>132</v>
      </c>
      <c r="M132">
        <f t="shared" si="15"/>
        <v>2112</v>
      </c>
      <c r="N132" s="142">
        <f t="shared" si="13"/>
        <v>0</v>
      </c>
      <c r="O132">
        <f>ROW()</f>
        <v>132</v>
      </c>
    </row>
    <row r="133" spans="3:15" x14ac:dyDescent="0.25">
      <c r="C133">
        <f t="shared" si="17"/>
        <v>2113</v>
      </c>
      <c r="D133" s="142">
        <f t="shared" si="11"/>
        <v>0</v>
      </c>
      <c r="E133">
        <f>ROW()</f>
        <v>133</v>
      </c>
      <c r="H133">
        <f t="shared" si="14"/>
        <v>2113</v>
      </c>
      <c r="I133" s="142">
        <f t="shared" si="12"/>
        <v>0</v>
      </c>
      <c r="J133">
        <f>ROW()</f>
        <v>133</v>
      </c>
      <c r="M133">
        <f t="shared" si="15"/>
        <v>2113</v>
      </c>
      <c r="N133" s="142">
        <f t="shared" si="13"/>
        <v>0</v>
      </c>
      <c r="O133">
        <f>ROW()</f>
        <v>133</v>
      </c>
    </row>
    <row r="134" spans="3:15" x14ac:dyDescent="0.25">
      <c r="C134">
        <f t="shared" si="17"/>
        <v>2114</v>
      </c>
      <c r="D134" s="142">
        <f t="shared" si="11"/>
        <v>0</v>
      </c>
      <c r="E134">
        <f>ROW()</f>
        <v>134</v>
      </c>
      <c r="H134">
        <f t="shared" si="14"/>
        <v>2114</v>
      </c>
      <c r="I134" s="142">
        <f t="shared" si="12"/>
        <v>0</v>
      </c>
      <c r="J134">
        <f>ROW()</f>
        <v>134</v>
      </c>
      <c r="M134">
        <f t="shared" si="15"/>
        <v>2114</v>
      </c>
      <c r="N134" s="142">
        <f t="shared" si="13"/>
        <v>0</v>
      </c>
      <c r="O134">
        <f>ROW()</f>
        <v>134</v>
      </c>
    </row>
    <row r="135" spans="3:15" x14ac:dyDescent="0.25">
      <c r="C135">
        <f t="shared" si="17"/>
        <v>2115</v>
      </c>
      <c r="D135" s="142">
        <f t="shared" si="11"/>
        <v>0</v>
      </c>
      <c r="E135">
        <f>ROW()</f>
        <v>135</v>
      </c>
      <c r="H135">
        <f t="shared" si="14"/>
        <v>2115</v>
      </c>
      <c r="I135" s="142">
        <f t="shared" si="12"/>
        <v>0</v>
      </c>
      <c r="J135">
        <f>ROW()</f>
        <v>135</v>
      </c>
      <c r="M135">
        <f t="shared" si="15"/>
        <v>2115</v>
      </c>
      <c r="N135" s="142">
        <f t="shared" si="13"/>
        <v>0</v>
      </c>
      <c r="O135">
        <f>ROW()</f>
        <v>135</v>
      </c>
    </row>
    <row r="136" spans="3:15" x14ac:dyDescent="0.25">
      <c r="C136">
        <f t="shared" si="17"/>
        <v>2116</v>
      </c>
      <c r="D136" s="142">
        <f t="shared" si="11"/>
        <v>0</v>
      </c>
      <c r="E136">
        <f>ROW()</f>
        <v>136</v>
      </c>
      <c r="H136">
        <f t="shared" si="14"/>
        <v>2116</v>
      </c>
      <c r="I136" s="142">
        <f t="shared" si="12"/>
        <v>0</v>
      </c>
      <c r="J136">
        <f>ROW()</f>
        <v>136</v>
      </c>
      <c r="M136">
        <f t="shared" si="15"/>
        <v>2116</v>
      </c>
      <c r="N136" s="142">
        <f t="shared" si="13"/>
        <v>0</v>
      </c>
      <c r="O136">
        <f>ROW()</f>
        <v>136</v>
      </c>
    </row>
    <row r="137" spans="3:15" x14ac:dyDescent="0.25">
      <c r="C137">
        <f t="shared" si="17"/>
        <v>2117</v>
      </c>
      <c r="D137" s="142">
        <f t="shared" si="11"/>
        <v>0</v>
      </c>
      <c r="E137">
        <f>ROW()</f>
        <v>137</v>
      </c>
      <c r="H137">
        <f t="shared" si="14"/>
        <v>2117</v>
      </c>
      <c r="I137" s="142">
        <f t="shared" si="12"/>
        <v>0</v>
      </c>
      <c r="J137">
        <f>ROW()</f>
        <v>137</v>
      </c>
      <c r="M137">
        <f t="shared" si="15"/>
        <v>2117</v>
      </c>
      <c r="N137" s="142">
        <f t="shared" si="13"/>
        <v>0</v>
      </c>
      <c r="O137">
        <f>ROW()</f>
        <v>137</v>
      </c>
    </row>
    <row r="138" spans="3:15" x14ac:dyDescent="0.25">
      <c r="C138">
        <f t="shared" si="17"/>
        <v>2118</v>
      </c>
      <c r="D138" s="142">
        <f t="shared" si="11"/>
        <v>0</v>
      </c>
      <c r="E138">
        <f>ROW()</f>
        <v>138</v>
      </c>
      <c r="H138">
        <f t="shared" si="14"/>
        <v>2118</v>
      </c>
      <c r="I138" s="142">
        <f t="shared" si="12"/>
        <v>0</v>
      </c>
      <c r="J138">
        <f>ROW()</f>
        <v>138</v>
      </c>
      <c r="M138">
        <f t="shared" si="15"/>
        <v>2118</v>
      </c>
      <c r="N138" s="142">
        <f t="shared" si="13"/>
        <v>0</v>
      </c>
      <c r="O138">
        <f>ROW()</f>
        <v>138</v>
      </c>
    </row>
    <row r="139" spans="3:15" x14ac:dyDescent="0.25">
      <c r="C139">
        <f t="shared" si="17"/>
        <v>2119</v>
      </c>
      <c r="D139" s="142">
        <f t="shared" si="11"/>
        <v>0</v>
      </c>
      <c r="E139">
        <f>ROW()</f>
        <v>139</v>
      </c>
      <c r="H139">
        <f t="shared" si="14"/>
        <v>2119</v>
      </c>
      <c r="I139" s="142">
        <f t="shared" si="12"/>
        <v>0</v>
      </c>
      <c r="J139">
        <f>ROW()</f>
        <v>139</v>
      </c>
      <c r="M139">
        <f t="shared" si="15"/>
        <v>2119</v>
      </c>
      <c r="N139" s="142">
        <f t="shared" si="13"/>
        <v>0</v>
      </c>
      <c r="O139">
        <f>ROW()</f>
        <v>139</v>
      </c>
    </row>
    <row r="140" spans="3:15" x14ac:dyDescent="0.25">
      <c r="C140">
        <f t="shared" si="17"/>
        <v>2120</v>
      </c>
      <c r="D140" s="142">
        <f t="shared" si="11"/>
        <v>0</v>
      </c>
      <c r="E140">
        <f>ROW()</f>
        <v>140</v>
      </c>
      <c r="H140">
        <f t="shared" si="14"/>
        <v>2120</v>
      </c>
      <c r="I140" s="142">
        <f t="shared" si="12"/>
        <v>0</v>
      </c>
      <c r="J140">
        <f>ROW()</f>
        <v>140</v>
      </c>
      <c r="M140">
        <f t="shared" si="15"/>
        <v>2120</v>
      </c>
      <c r="N140" s="142">
        <f t="shared" si="13"/>
        <v>0</v>
      </c>
      <c r="O140">
        <f>ROW()</f>
        <v>140</v>
      </c>
    </row>
    <row r="141" spans="3:15" x14ac:dyDescent="0.25">
      <c r="C141">
        <f t="shared" si="17"/>
        <v>2121</v>
      </c>
      <c r="D141" s="142">
        <f t="shared" si="11"/>
        <v>0</v>
      </c>
      <c r="E141">
        <f>ROW()</f>
        <v>141</v>
      </c>
      <c r="H141">
        <f t="shared" si="14"/>
        <v>2121</v>
      </c>
      <c r="I141" s="142">
        <f t="shared" si="12"/>
        <v>0</v>
      </c>
      <c r="J141">
        <f>ROW()</f>
        <v>141</v>
      </c>
      <c r="M141">
        <f t="shared" si="15"/>
        <v>2121</v>
      </c>
      <c r="N141" s="142">
        <f t="shared" si="13"/>
        <v>0</v>
      </c>
      <c r="O141">
        <f>ROW()</f>
        <v>141</v>
      </c>
    </row>
    <row r="142" spans="3:15" x14ac:dyDescent="0.25">
      <c r="C142">
        <f t="shared" si="17"/>
        <v>2122</v>
      </c>
      <c r="D142" s="142">
        <f t="shared" si="11"/>
        <v>0</v>
      </c>
      <c r="E142">
        <f>ROW()</f>
        <v>142</v>
      </c>
      <c r="H142">
        <f t="shared" si="14"/>
        <v>2122</v>
      </c>
      <c r="I142" s="142">
        <f t="shared" si="12"/>
        <v>0</v>
      </c>
      <c r="J142">
        <f>ROW()</f>
        <v>142</v>
      </c>
      <c r="M142">
        <f t="shared" si="15"/>
        <v>2122</v>
      </c>
      <c r="N142" s="142">
        <f t="shared" si="13"/>
        <v>0</v>
      </c>
      <c r="O142">
        <f>ROW()</f>
        <v>142</v>
      </c>
    </row>
    <row r="143" spans="3:15" x14ac:dyDescent="0.25">
      <c r="C143">
        <f t="shared" si="17"/>
        <v>2123</v>
      </c>
      <c r="D143" s="142">
        <f t="shared" si="11"/>
        <v>0</v>
      </c>
      <c r="E143">
        <f>ROW()</f>
        <v>143</v>
      </c>
      <c r="H143">
        <f t="shared" si="14"/>
        <v>2123</v>
      </c>
      <c r="I143" s="142">
        <f t="shared" si="12"/>
        <v>0</v>
      </c>
      <c r="J143">
        <f>ROW()</f>
        <v>143</v>
      </c>
      <c r="M143">
        <f t="shared" si="15"/>
        <v>2123</v>
      </c>
      <c r="N143" s="142">
        <f t="shared" si="13"/>
        <v>0</v>
      </c>
      <c r="O143">
        <f>ROW()</f>
        <v>143</v>
      </c>
    </row>
    <row r="144" spans="3:15" x14ac:dyDescent="0.25">
      <c r="C144">
        <f t="shared" si="17"/>
        <v>2124</v>
      </c>
      <c r="D144" s="142">
        <f t="shared" si="11"/>
        <v>0</v>
      </c>
      <c r="E144">
        <f>ROW()</f>
        <v>144</v>
      </c>
      <c r="H144">
        <f t="shared" si="14"/>
        <v>2124</v>
      </c>
      <c r="I144" s="142">
        <f t="shared" si="12"/>
        <v>0</v>
      </c>
      <c r="J144">
        <f>ROW()</f>
        <v>144</v>
      </c>
      <c r="M144">
        <f t="shared" si="15"/>
        <v>2124</v>
      </c>
      <c r="N144" s="142">
        <f t="shared" si="13"/>
        <v>0</v>
      </c>
      <c r="O144">
        <f>ROW()</f>
        <v>144</v>
      </c>
    </row>
    <row r="145" spans="3:15" x14ac:dyDescent="0.25">
      <c r="C145">
        <f t="shared" si="17"/>
        <v>2125</v>
      </c>
      <c r="D145" s="142">
        <f t="shared" si="11"/>
        <v>0</v>
      </c>
      <c r="E145">
        <f>ROW()</f>
        <v>145</v>
      </c>
      <c r="H145">
        <f t="shared" si="14"/>
        <v>2125</v>
      </c>
      <c r="I145" s="142">
        <f t="shared" si="12"/>
        <v>0</v>
      </c>
      <c r="J145">
        <f>ROW()</f>
        <v>145</v>
      </c>
      <c r="M145">
        <f t="shared" si="15"/>
        <v>2125</v>
      </c>
      <c r="N145" s="142">
        <f t="shared" si="13"/>
        <v>0</v>
      </c>
      <c r="O145">
        <f>ROW()</f>
        <v>145</v>
      </c>
    </row>
    <row r="146" spans="3:15" x14ac:dyDescent="0.25">
      <c r="C146">
        <f t="shared" si="17"/>
        <v>2126</v>
      </c>
      <c r="D146" s="142">
        <f t="shared" si="11"/>
        <v>0</v>
      </c>
      <c r="E146">
        <f>ROW()</f>
        <v>146</v>
      </c>
      <c r="H146">
        <f t="shared" si="14"/>
        <v>2126</v>
      </c>
      <c r="I146" s="142">
        <f t="shared" si="12"/>
        <v>0</v>
      </c>
      <c r="J146">
        <f>ROW()</f>
        <v>146</v>
      </c>
      <c r="M146">
        <f t="shared" si="15"/>
        <v>2126</v>
      </c>
      <c r="N146" s="142">
        <f t="shared" si="13"/>
        <v>0</v>
      </c>
      <c r="O146">
        <f>ROW()</f>
        <v>146</v>
      </c>
    </row>
    <row r="147" spans="3:15" x14ac:dyDescent="0.25">
      <c r="C147">
        <f t="shared" si="17"/>
        <v>2127</v>
      </c>
      <c r="D147" s="142">
        <f t="shared" si="11"/>
        <v>0</v>
      </c>
      <c r="E147">
        <f>ROW()</f>
        <v>147</v>
      </c>
      <c r="H147">
        <f t="shared" si="14"/>
        <v>2127</v>
      </c>
      <c r="I147" s="142">
        <f t="shared" si="12"/>
        <v>0</v>
      </c>
      <c r="J147">
        <f>ROW()</f>
        <v>147</v>
      </c>
      <c r="M147">
        <f t="shared" si="15"/>
        <v>2127</v>
      </c>
      <c r="N147" s="142">
        <f t="shared" si="13"/>
        <v>0</v>
      </c>
      <c r="O147">
        <f>ROW()</f>
        <v>147</v>
      </c>
    </row>
    <row r="148" spans="3:15" x14ac:dyDescent="0.25">
      <c r="C148">
        <f t="shared" si="17"/>
        <v>2128</v>
      </c>
      <c r="D148" s="142">
        <f t="shared" si="11"/>
        <v>0</v>
      </c>
      <c r="E148">
        <f>ROW()</f>
        <v>148</v>
      </c>
      <c r="H148">
        <f t="shared" si="14"/>
        <v>2128</v>
      </c>
      <c r="I148" s="142">
        <f t="shared" si="12"/>
        <v>0</v>
      </c>
      <c r="J148">
        <f>ROW()</f>
        <v>148</v>
      </c>
      <c r="M148">
        <f t="shared" si="15"/>
        <v>2128</v>
      </c>
      <c r="N148" s="142">
        <f t="shared" si="13"/>
        <v>0</v>
      </c>
      <c r="O148">
        <f>ROW()</f>
        <v>148</v>
      </c>
    </row>
    <row r="149" spans="3:15" x14ac:dyDescent="0.25">
      <c r="C149">
        <f t="shared" si="17"/>
        <v>2129</v>
      </c>
      <c r="D149" s="142">
        <f t="shared" si="11"/>
        <v>0</v>
      </c>
      <c r="E149">
        <f>ROW()</f>
        <v>149</v>
      </c>
      <c r="H149">
        <f t="shared" si="14"/>
        <v>2129</v>
      </c>
      <c r="I149" s="142">
        <f t="shared" si="12"/>
        <v>0</v>
      </c>
      <c r="J149">
        <f>ROW()</f>
        <v>149</v>
      </c>
      <c r="M149">
        <f t="shared" si="15"/>
        <v>2129</v>
      </c>
      <c r="N149" s="142">
        <f t="shared" si="13"/>
        <v>0</v>
      </c>
      <c r="O149">
        <f>ROW()</f>
        <v>149</v>
      </c>
    </row>
    <row r="150" spans="3:15" x14ac:dyDescent="0.25">
      <c r="C150">
        <f t="shared" si="17"/>
        <v>2130</v>
      </c>
      <c r="D150" s="142">
        <f t="shared" si="11"/>
        <v>0</v>
      </c>
      <c r="E150">
        <f>ROW()</f>
        <v>150</v>
      </c>
      <c r="H150">
        <f t="shared" si="14"/>
        <v>2130</v>
      </c>
      <c r="I150" s="142">
        <f t="shared" si="12"/>
        <v>0</v>
      </c>
      <c r="J150">
        <f>ROW()</f>
        <v>150</v>
      </c>
      <c r="M150">
        <f t="shared" si="15"/>
        <v>2130</v>
      </c>
      <c r="N150" s="142">
        <f t="shared" si="13"/>
        <v>0</v>
      </c>
      <c r="O150">
        <f>ROW()</f>
        <v>150</v>
      </c>
    </row>
    <row r="151" spans="3:15" x14ac:dyDescent="0.25">
      <c r="C151">
        <f t="shared" si="17"/>
        <v>2131</v>
      </c>
      <c r="D151" s="142">
        <f t="shared" si="11"/>
        <v>0</v>
      </c>
      <c r="E151">
        <f>ROW()</f>
        <v>151</v>
      </c>
      <c r="H151">
        <f t="shared" si="14"/>
        <v>2131</v>
      </c>
      <c r="I151" s="142">
        <f t="shared" si="12"/>
        <v>0</v>
      </c>
      <c r="J151">
        <f>ROW()</f>
        <v>151</v>
      </c>
      <c r="M151">
        <f t="shared" si="15"/>
        <v>2131</v>
      </c>
      <c r="N151" s="142">
        <f t="shared" si="13"/>
        <v>0</v>
      </c>
      <c r="O151">
        <f>ROW()</f>
        <v>151</v>
      </c>
    </row>
    <row r="152" spans="3:15" x14ac:dyDescent="0.25">
      <c r="C152">
        <f t="shared" si="17"/>
        <v>2132</v>
      </c>
      <c r="D152" s="142">
        <f t="shared" si="11"/>
        <v>0</v>
      </c>
      <c r="E152">
        <f>ROW()</f>
        <v>152</v>
      </c>
      <c r="H152">
        <f t="shared" si="14"/>
        <v>2132</v>
      </c>
      <c r="I152" s="142">
        <f t="shared" si="12"/>
        <v>0</v>
      </c>
      <c r="J152">
        <f>ROW()</f>
        <v>152</v>
      </c>
      <c r="M152">
        <f t="shared" si="15"/>
        <v>2132</v>
      </c>
      <c r="N152" s="142">
        <f t="shared" si="13"/>
        <v>0</v>
      </c>
      <c r="O152">
        <f>ROW()</f>
        <v>152</v>
      </c>
    </row>
    <row r="153" spans="3:15" x14ac:dyDescent="0.25">
      <c r="C153">
        <f t="shared" si="17"/>
        <v>2133</v>
      </c>
      <c r="D153" s="142">
        <f t="shared" si="11"/>
        <v>0</v>
      </c>
      <c r="E153">
        <f>ROW()</f>
        <v>153</v>
      </c>
      <c r="H153">
        <f t="shared" si="14"/>
        <v>2133</v>
      </c>
      <c r="I153" s="142">
        <f t="shared" si="12"/>
        <v>0</v>
      </c>
      <c r="J153">
        <f>ROW()</f>
        <v>153</v>
      </c>
      <c r="M153">
        <f t="shared" si="15"/>
        <v>2133</v>
      </c>
      <c r="N153" s="142">
        <f t="shared" si="13"/>
        <v>0</v>
      </c>
      <c r="O153">
        <f>ROW()</f>
        <v>153</v>
      </c>
    </row>
    <row r="154" spans="3:15" x14ac:dyDescent="0.25">
      <c r="C154">
        <f t="shared" si="17"/>
        <v>2134</v>
      </c>
      <c r="D154" s="142">
        <f t="shared" si="11"/>
        <v>0</v>
      </c>
      <c r="E154">
        <f>ROW()</f>
        <v>154</v>
      </c>
      <c r="H154">
        <f t="shared" si="14"/>
        <v>2134</v>
      </c>
      <c r="I154" s="142">
        <f t="shared" si="12"/>
        <v>0</v>
      </c>
      <c r="J154">
        <f>ROW()</f>
        <v>154</v>
      </c>
      <c r="M154">
        <f t="shared" si="15"/>
        <v>2134</v>
      </c>
      <c r="N154" s="142">
        <f t="shared" si="13"/>
        <v>0</v>
      </c>
      <c r="O154">
        <f>ROW()</f>
        <v>154</v>
      </c>
    </row>
    <row r="155" spans="3:15" x14ac:dyDescent="0.25">
      <c r="C155">
        <f t="shared" si="17"/>
        <v>2135</v>
      </c>
      <c r="D155" s="142">
        <f t="shared" si="11"/>
        <v>0</v>
      </c>
      <c r="E155">
        <f>ROW()</f>
        <v>155</v>
      </c>
      <c r="H155">
        <f t="shared" si="14"/>
        <v>2135</v>
      </c>
      <c r="I155" s="142">
        <f t="shared" si="12"/>
        <v>0</v>
      </c>
      <c r="J155">
        <f>ROW()</f>
        <v>155</v>
      </c>
      <c r="M155">
        <f t="shared" si="15"/>
        <v>2135</v>
      </c>
      <c r="N155" s="142">
        <f t="shared" si="13"/>
        <v>0</v>
      </c>
      <c r="O155">
        <f>ROW()</f>
        <v>155</v>
      </c>
    </row>
    <row r="156" spans="3:15" x14ac:dyDescent="0.25">
      <c r="C156">
        <f t="shared" si="17"/>
        <v>2136</v>
      </c>
      <c r="D156" s="142">
        <f t="shared" si="11"/>
        <v>0</v>
      </c>
      <c r="E156">
        <f>ROW()</f>
        <v>156</v>
      </c>
      <c r="H156">
        <f t="shared" si="14"/>
        <v>2136</v>
      </c>
      <c r="I156" s="142">
        <f t="shared" si="12"/>
        <v>0</v>
      </c>
      <c r="J156">
        <f>ROW()</f>
        <v>156</v>
      </c>
      <c r="M156">
        <f t="shared" si="15"/>
        <v>2136</v>
      </c>
      <c r="N156" s="142">
        <f t="shared" si="13"/>
        <v>0</v>
      </c>
      <c r="O156">
        <f>ROW()</f>
        <v>156</v>
      </c>
    </row>
    <row r="157" spans="3:15" x14ac:dyDescent="0.25">
      <c r="C157">
        <f t="shared" si="17"/>
        <v>2137</v>
      </c>
      <c r="D157" s="142">
        <f t="shared" si="11"/>
        <v>0</v>
      </c>
      <c r="E157">
        <f>ROW()</f>
        <v>157</v>
      </c>
      <c r="H157">
        <f t="shared" si="14"/>
        <v>2137</v>
      </c>
      <c r="I157" s="142">
        <f t="shared" si="12"/>
        <v>0</v>
      </c>
      <c r="J157">
        <f>ROW()</f>
        <v>157</v>
      </c>
      <c r="M157">
        <f t="shared" si="15"/>
        <v>2137</v>
      </c>
      <c r="N157" s="142">
        <f t="shared" si="13"/>
        <v>0</v>
      </c>
      <c r="O157">
        <f>ROW()</f>
        <v>157</v>
      </c>
    </row>
    <row r="158" spans="3:15" x14ac:dyDescent="0.25">
      <c r="C158">
        <f t="shared" si="17"/>
        <v>2138</v>
      </c>
      <c r="D158" s="142">
        <f t="shared" si="11"/>
        <v>0</v>
      </c>
      <c r="E158">
        <f>ROW()</f>
        <v>158</v>
      </c>
      <c r="H158">
        <f t="shared" si="14"/>
        <v>2138</v>
      </c>
      <c r="I158" s="142">
        <f t="shared" si="12"/>
        <v>0</v>
      </c>
      <c r="J158">
        <f>ROW()</f>
        <v>158</v>
      </c>
      <c r="M158">
        <f t="shared" si="15"/>
        <v>2138</v>
      </c>
      <c r="N158" s="142">
        <f t="shared" si="13"/>
        <v>0</v>
      </c>
      <c r="O158">
        <f>ROW()</f>
        <v>158</v>
      </c>
    </row>
    <row r="159" spans="3:15" x14ac:dyDescent="0.25">
      <c r="C159">
        <f t="shared" si="17"/>
        <v>2139</v>
      </c>
      <c r="D159" s="142">
        <f t="shared" si="11"/>
        <v>0</v>
      </c>
      <c r="E159">
        <f>ROW()</f>
        <v>159</v>
      </c>
      <c r="H159">
        <f t="shared" si="14"/>
        <v>2139</v>
      </c>
      <c r="I159" s="142">
        <f t="shared" si="12"/>
        <v>0</v>
      </c>
      <c r="J159">
        <f>ROW()</f>
        <v>159</v>
      </c>
      <c r="M159">
        <f t="shared" si="15"/>
        <v>2139</v>
      </c>
      <c r="N159" s="142">
        <f t="shared" si="13"/>
        <v>0</v>
      </c>
      <c r="O159">
        <f>ROW()</f>
        <v>159</v>
      </c>
    </row>
    <row r="160" spans="3:15" x14ac:dyDescent="0.25">
      <c r="C160">
        <f t="shared" si="17"/>
        <v>2140</v>
      </c>
      <c r="D160" s="142">
        <f t="shared" si="11"/>
        <v>0</v>
      </c>
      <c r="E160">
        <f>ROW()</f>
        <v>160</v>
      </c>
      <c r="H160">
        <f t="shared" si="14"/>
        <v>2140</v>
      </c>
      <c r="I160" s="142">
        <f t="shared" si="12"/>
        <v>0</v>
      </c>
      <c r="J160">
        <f>ROW()</f>
        <v>160</v>
      </c>
      <c r="M160">
        <f t="shared" si="15"/>
        <v>2140</v>
      </c>
      <c r="N160" s="142">
        <f t="shared" si="13"/>
        <v>0</v>
      </c>
      <c r="O160">
        <f>ROW()</f>
        <v>160</v>
      </c>
    </row>
    <row r="161" spans="3:15" x14ac:dyDescent="0.25">
      <c r="C161">
        <f t="shared" si="17"/>
        <v>2141</v>
      </c>
      <c r="D161" s="142">
        <f t="shared" si="11"/>
        <v>0</v>
      </c>
      <c r="E161">
        <f>ROW()</f>
        <v>161</v>
      </c>
      <c r="H161">
        <f t="shared" si="14"/>
        <v>2141</v>
      </c>
      <c r="I161" s="142">
        <f t="shared" si="12"/>
        <v>0</v>
      </c>
      <c r="J161">
        <f>ROW()</f>
        <v>161</v>
      </c>
      <c r="M161">
        <f t="shared" si="15"/>
        <v>2141</v>
      </c>
      <c r="N161" s="142">
        <f t="shared" si="13"/>
        <v>0</v>
      </c>
      <c r="O161">
        <f>ROW()</f>
        <v>161</v>
      </c>
    </row>
    <row r="162" spans="3:15" x14ac:dyDescent="0.25">
      <c r="C162">
        <f t="shared" si="17"/>
        <v>2142</v>
      </c>
      <c r="D162" s="142">
        <f t="shared" si="11"/>
        <v>0</v>
      </c>
      <c r="E162">
        <f>ROW()</f>
        <v>162</v>
      </c>
      <c r="H162">
        <f t="shared" si="14"/>
        <v>2142</v>
      </c>
      <c r="I162" s="142">
        <f t="shared" si="12"/>
        <v>0</v>
      </c>
      <c r="J162">
        <f>ROW()</f>
        <v>162</v>
      </c>
      <c r="M162">
        <f t="shared" si="15"/>
        <v>2142</v>
      </c>
      <c r="N162" s="142">
        <f t="shared" si="13"/>
        <v>0</v>
      </c>
      <c r="O162">
        <f>ROW()</f>
        <v>162</v>
      </c>
    </row>
    <row r="163" spans="3:15" x14ac:dyDescent="0.25">
      <c r="C163">
        <f t="shared" si="17"/>
        <v>2143</v>
      </c>
      <c r="D163" s="142">
        <f t="shared" si="11"/>
        <v>0</v>
      </c>
      <c r="E163">
        <f>ROW()</f>
        <v>163</v>
      </c>
      <c r="H163">
        <f t="shared" si="14"/>
        <v>2143</v>
      </c>
      <c r="I163" s="142">
        <f t="shared" si="12"/>
        <v>0</v>
      </c>
      <c r="J163">
        <f>ROW()</f>
        <v>163</v>
      </c>
      <c r="M163">
        <f t="shared" si="15"/>
        <v>2143</v>
      </c>
      <c r="N163" s="142">
        <f t="shared" si="13"/>
        <v>0</v>
      </c>
      <c r="O163">
        <f>ROW()</f>
        <v>163</v>
      </c>
    </row>
    <row r="164" spans="3:15" x14ac:dyDescent="0.25">
      <c r="C164">
        <f t="shared" si="17"/>
        <v>2144</v>
      </c>
      <c r="D164" s="142">
        <f t="shared" si="11"/>
        <v>0</v>
      </c>
      <c r="E164">
        <f>ROW()</f>
        <v>164</v>
      </c>
      <c r="H164">
        <f t="shared" si="14"/>
        <v>2144</v>
      </c>
      <c r="I164" s="142">
        <f t="shared" si="12"/>
        <v>0</v>
      </c>
      <c r="J164">
        <f>ROW()</f>
        <v>164</v>
      </c>
      <c r="M164">
        <f t="shared" si="15"/>
        <v>2144</v>
      </c>
      <c r="N164" s="142">
        <f t="shared" si="13"/>
        <v>0</v>
      </c>
      <c r="O164">
        <f>ROW()</f>
        <v>164</v>
      </c>
    </row>
    <row r="165" spans="3:15" x14ac:dyDescent="0.25">
      <c r="C165">
        <f t="shared" si="17"/>
        <v>2145</v>
      </c>
      <c r="D165" s="142">
        <f t="shared" si="11"/>
        <v>0</v>
      </c>
      <c r="E165">
        <f>ROW()</f>
        <v>165</v>
      </c>
      <c r="H165">
        <f t="shared" si="14"/>
        <v>2145</v>
      </c>
      <c r="I165" s="142">
        <f t="shared" si="12"/>
        <v>0</v>
      </c>
      <c r="J165">
        <f>ROW()</f>
        <v>165</v>
      </c>
      <c r="M165">
        <f t="shared" si="15"/>
        <v>2145</v>
      </c>
      <c r="N165" s="142">
        <f t="shared" si="13"/>
        <v>0</v>
      </c>
      <c r="O165">
        <f>ROW()</f>
        <v>165</v>
      </c>
    </row>
    <row r="166" spans="3:15" x14ac:dyDescent="0.25">
      <c r="C166">
        <f t="shared" si="17"/>
        <v>2146</v>
      </c>
      <c r="D166" s="142">
        <f t="shared" si="11"/>
        <v>0</v>
      </c>
      <c r="E166">
        <f>ROW()</f>
        <v>166</v>
      </c>
      <c r="H166">
        <f t="shared" si="14"/>
        <v>2146</v>
      </c>
      <c r="I166" s="142">
        <f t="shared" si="12"/>
        <v>0</v>
      </c>
      <c r="J166">
        <f>ROW()</f>
        <v>166</v>
      </c>
      <c r="M166">
        <f t="shared" si="15"/>
        <v>2146</v>
      </c>
      <c r="N166" s="142">
        <f t="shared" si="13"/>
        <v>0</v>
      </c>
      <c r="O166">
        <f>ROW()</f>
        <v>166</v>
      </c>
    </row>
    <row r="167" spans="3:15" x14ac:dyDescent="0.25">
      <c r="C167">
        <f t="shared" si="17"/>
        <v>2147</v>
      </c>
      <c r="D167" s="142">
        <f t="shared" si="11"/>
        <v>0</v>
      </c>
      <c r="E167">
        <f>ROW()</f>
        <v>167</v>
      </c>
      <c r="H167">
        <f t="shared" si="14"/>
        <v>2147</v>
      </c>
      <c r="I167" s="142">
        <f t="shared" si="12"/>
        <v>0</v>
      </c>
      <c r="J167">
        <f>ROW()</f>
        <v>167</v>
      </c>
      <c r="M167">
        <f t="shared" si="15"/>
        <v>2147</v>
      </c>
      <c r="N167" s="142">
        <f t="shared" si="13"/>
        <v>0</v>
      </c>
      <c r="O167">
        <f>ROW()</f>
        <v>167</v>
      </c>
    </row>
    <row r="168" spans="3:15" x14ac:dyDescent="0.25">
      <c r="C168">
        <f t="shared" si="17"/>
        <v>2148</v>
      </c>
      <c r="D168" s="142">
        <f t="shared" si="11"/>
        <v>0</v>
      </c>
      <c r="E168">
        <f>ROW()</f>
        <v>168</v>
      </c>
      <c r="H168">
        <f t="shared" si="14"/>
        <v>2148</v>
      </c>
      <c r="I168" s="142">
        <f t="shared" si="12"/>
        <v>0</v>
      </c>
      <c r="J168">
        <f>ROW()</f>
        <v>168</v>
      </c>
      <c r="M168">
        <f t="shared" si="15"/>
        <v>2148</v>
      </c>
      <c r="N168" s="142">
        <f t="shared" si="13"/>
        <v>0</v>
      </c>
      <c r="O168">
        <f>ROW()</f>
        <v>168</v>
      </c>
    </row>
    <row r="169" spans="3:15" x14ac:dyDescent="0.25">
      <c r="C169">
        <f t="shared" si="17"/>
        <v>2149</v>
      </c>
      <c r="D169" s="142">
        <f t="shared" ref="D169:D170" si="18">IF(C169&lt;$C$34,$D$34,MAX(C169*$E$34+$E$35,0))</f>
        <v>0</v>
      </c>
      <c r="E169">
        <f>ROW()</f>
        <v>169</v>
      </c>
      <c r="H169">
        <f t="shared" si="14"/>
        <v>2149</v>
      </c>
      <c r="I169" s="142">
        <f t="shared" ref="I169:I170" si="19">IF(H169&lt;$H$34,$I$34,MAX(H169*$J$34+$J$35,0))</f>
        <v>0</v>
      </c>
      <c r="J169">
        <f>ROW()</f>
        <v>169</v>
      </c>
      <c r="M169">
        <f t="shared" si="15"/>
        <v>2149</v>
      </c>
      <c r="N169" s="142">
        <f t="shared" ref="N169:N170" si="20">IF(M169&lt;$M$34,$N$34,MAX(M169*$O$34+$O$35,0))</f>
        <v>0</v>
      </c>
      <c r="O169">
        <f>ROW()</f>
        <v>169</v>
      </c>
    </row>
    <row r="170" spans="3:15" x14ac:dyDescent="0.25">
      <c r="C170">
        <f t="shared" si="17"/>
        <v>2150</v>
      </c>
      <c r="D170" s="142">
        <f t="shared" si="18"/>
        <v>0</v>
      </c>
      <c r="E170">
        <f>ROW()</f>
        <v>170</v>
      </c>
      <c r="H170">
        <f t="shared" ref="H170" si="21">H169+1</f>
        <v>2150</v>
      </c>
      <c r="I170" s="142">
        <f t="shared" si="19"/>
        <v>0</v>
      </c>
      <c r="J170">
        <f>ROW()</f>
        <v>170</v>
      </c>
      <c r="M170">
        <f t="shared" ref="M170" si="22">M169+1</f>
        <v>2150</v>
      </c>
      <c r="N170" s="142">
        <f t="shared" si="20"/>
        <v>0</v>
      </c>
      <c r="O170">
        <f>ROW()</f>
        <v>170</v>
      </c>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X113"/>
  <sheetViews>
    <sheetView tabSelected="1" topLeftCell="A66" workbookViewId="0">
      <selection activeCell="A72" sqref="A72:XFD95"/>
    </sheetView>
  </sheetViews>
  <sheetFormatPr defaultColWidth="11.42578125" defaultRowHeight="15" x14ac:dyDescent="0.25"/>
  <cols>
    <col min="1" max="1" width="61.28515625" customWidth="1"/>
    <col min="2" max="2" width="11.42578125" customWidth="1"/>
    <col min="3" max="3" width="57.28515625" hidden="1" customWidth="1"/>
    <col min="4" max="4" width="68.7109375" customWidth="1"/>
    <col min="5" max="5" width="0.28515625" customWidth="1"/>
    <col min="6" max="6" width="90.28515625" bestFit="1" customWidth="1"/>
    <col min="7" max="7" width="26.42578125" customWidth="1"/>
    <col min="8" max="8" width="20.28515625" customWidth="1"/>
    <col min="9" max="9" width="23.5703125" customWidth="1"/>
    <col min="10" max="10" width="8.85546875" customWidth="1"/>
    <col min="11" max="12" width="11.42578125" customWidth="1"/>
    <col min="13" max="13" width="22" customWidth="1"/>
    <col min="14" max="14" width="23.85546875" customWidth="1"/>
    <col min="15" max="15" width="29.85546875" customWidth="1"/>
    <col min="16" max="16" width="25.85546875" customWidth="1"/>
    <col min="17" max="17" width="23.5703125" customWidth="1"/>
    <col min="18" max="18" width="25.42578125" customWidth="1"/>
    <col min="19" max="19" width="29.5703125" customWidth="1"/>
    <col min="20" max="20" width="17.85546875" customWidth="1"/>
    <col min="21" max="21" width="15.85546875" customWidth="1"/>
    <col min="22" max="22" width="23.42578125" customWidth="1"/>
    <col min="23" max="23" width="30.7109375" customWidth="1"/>
    <col min="24" max="24" width="21" customWidth="1"/>
    <col min="25" max="25" width="23.85546875" customWidth="1"/>
    <col min="26" max="26" width="17.7109375" customWidth="1"/>
    <col min="27" max="27" width="19.140625" customWidth="1"/>
    <col min="28" max="28" width="11.42578125" customWidth="1"/>
    <col min="29" max="29" width="24.5703125" customWidth="1"/>
    <col min="30" max="30" width="29.7109375" customWidth="1"/>
    <col min="31" max="31" width="12.28515625" bestFit="1" customWidth="1"/>
    <col min="32" max="38" width="11.42578125" style="441" customWidth="1"/>
    <col min="39" max="43" width="11.5703125" style="441" bestFit="1" customWidth="1"/>
    <col min="44" max="44" width="11.42578125" style="441"/>
    <col min="45" max="75" width="11.42578125" customWidth="1"/>
  </cols>
  <sheetData>
    <row r="1" spans="1:76" x14ac:dyDescent="0.25">
      <c r="B1">
        <v>3</v>
      </c>
      <c r="C1">
        <f>COLUMN()-$B$1</f>
        <v>0</v>
      </c>
      <c r="D1">
        <f t="shared" ref="D1:BO1" si="0">COLUMN()-$B$1</f>
        <v>1</v>
      </c>
      <c r="E1">
        <f>COLUMN()-$B$1</f>
        <v>2</v>
      </c>
      <c r="F1">
        <f t="shared" si="0"/>
        <v>3</v>
      </c>
      <c r="G1">
        <f t="shared" si="0"/>
        <v>4</v>
      </c>
      <c r="H1">
        <f t="shared" si="0"/>
        <v>5</v>
      </c>
      <c r="I1">
        <f t="shared" si="0"/>
        <v>6</v>
      </c>
      <c r="J1">
        <f t="shared" si="0"/>
        <v>7</v>
      </c>
      <c r="K1">
        <f t="shared" si="0"/>
        <v>8</v>
      </c>
      <c r="L1">
        <f t="shared" si="0"/>
        <v>9</v>
      </c>
      <c r="M1">
        <f t="shared" si="0"/>
        <v>10</v>
      </c>
      <c r="N1">
        <f t="shared" si="0"/>
        <v>11</v>
      </c>
      <c r="O1">
        <f t="shared" si="0"/>
        <v>12</v>
      </c>
      <c r="P1">
        <f t="shared" si="0"/>
        <v>13</v>
      </c>
      <c r="Q1">
        <f t="shared" si="0"/>
        <v>14</v>
      </c>
      <c r="R1">
        <f t="shared" si="0"/>
        <v>15</v>
      </c>
      <c r="S1">
        <f t="shared" si="0"/>
        <v>16</v>
      </c>
      <c r="T1">
        <f t="shared" si="0"/>
        <v>17</v>
      </c>
      <c r="U1">
        <f t="shared" si="0"/>
        <v>18</v>
      </c>
      <c r="V1">
        <f t="shared" si="0"/>
        <v>19</v>
      </c>
      <c r="W1">
        <f t="shared" si="0"/>
        <v>20</v>
      </c>
      <c r="X1">
        <f t="shared" si="0"/>
        <v>21</v>
      </c>
      <c r="Y1">
        <f t="shared" si="0"/>
        <v>22</v>
      </c>
      <c r="Z1">
        <f t="shared" si="0"/>
        <v>23</v>
      </c>
      <c r="AA1">
        <f t="shared" si="0"/>
        <v>24</v>
      </c>
      <c r="AB1">
        <f t="shared" si="0"/>
        <v>25</v>
      </c>
      <c r="AC1">
        <f t="shared" si="0"/>
        <v>26</v>
      </c>
      <c r="AD1">
        <f t="shared" si="0"/>
        <v>27</v>
      </c>
      <c r="AE1">
        <f t="shared" si="0"/>
        <v>28</v>
      </c>
      <c r="AF1" s="441">
        <f t="shared" si="0"/>
        <v>29</v>
      </c>
      <c r="AG1" s="441">
        <f t="shared" si="0"/>
        <v>30</v>
      </c>
      <c r="AH1" s="441">
        <f t="shared" si="0"/>
        <v>31</v>
      </c>
      <c r="AI1" s="441">
        <f t="shared" si="0"/>
        <v>32</v>
      </c>
      <c r="AJ1" s="441">
        <f t="shared" si="0"/>
        <v>33</v>
      </c>
      <c r="AK1" s="441">
        <f t="shared" si="0"/>
        <v>34</v>
      </c>
      <c r="AL1" s="441">
        <f t="shared" si="0"/>
        <v>35</v>
      </c>
      <c r="AM1" s="441">
        <f t="shared" si="0"/>
        <v>36</v>
      </c>
      <c r="AN1" s="441">
        <f t="shared" si="0"/>
        <v>37</v>
      </c>
      <c r="AO1" s="441">
        <f t="shared" si="0"/>
        <v>38</v>
      </c>
      <c r="AP1" s="441">
        <f t="shared" si="0"/>
        <v>39</v>
      </c>
      <c r="AQ1" s="441">
        <f t="shared" si="0"/>
        <v>40</v>
      </c>
      <c r="AR1" s="441">
        <f t="shared" si="0"/>
        <v>41</v>
      </c>
      <c r="AS1">
        <f t="shared" si="0"/>
        <v>42</v>
      </c>
      <c r="AT1">
        <f t="shared" si="0"/>
        <v>43</v>
      </c>
      <c r="AU1">
        <f t="shared" si="0"/>
        <v>44</v>
      </c>
      <c r="AV1">
        <f t="shared" si="0"/>
        <v>45</v>
      </c>
      <c r="AW1">
        <f t="shared" si="0"/>
        <v>46</v>
      </c>
      <c r="AX1">
        <f t="shared" si="0"/>
        <v>47</v>
      </c>
      <c r="AY1">
        <f t="shared" si="0"/>
        <v>48</v>
      </c>
      <c r="AZ1">
        <f t="shared" si="0"/>
        <v>49</v>
      </c>
      <c r="BA1">
        <f t="shared" si="0"/>
        <v>50</v>
      </c>
      <c r="BB1">
        <f t="shared" si="0"/>
        <v>51</v>
      </c>
      <c r="BC1">
        <f t="shared" si="0"/>
        <v>52</v>
      </c>
      <c r="BD1">
        <f t="shared" si="0"/>
        <v>53</v>
      </c>
      <c r="BE1">
        <f t="shared" si="0"/>
        <v>54</v>
      </c>
      <c r="BF1">
        <f t="shared" si="0"/>
        <v>55</v>
      </c>
      <c r="BG1">
        <f t="shared" si="0"/>
        <v>56</v>
      </c>
      <c r="BH1">
        <f t="shared" si="0"/>
        <v>57</v>
      </c>
      <c r="BI1">
        <f t="shared" si="0"/>
        <v>58</v>
      </c>
      <c r="BJ1">
        <f t="shared" si="0"/>
        <v>59</v>
      </c>
      <c r="BK1">
        <f t="shared" si="0"/>
        <v>60</v>
      </c>
      <c r="BL1">
        <f t="shared" si="0"/>
        <v>61</v>
      </c>
      <c r="BM1">
        <f t="shared" si="0"/>
        <v>62</v>
      </c>
      <c r="BN1">
        <f t="shared" si="0"/>
        <v>63</v>
      </c>
      <c r="BO1">
        <f t="shared" si="0"/>
        <v>64</v>
      </c>
      <c r="BP1">
        <f t="shared" ref="BP1:BX1" si="1">COLUMN()-$B$1</f>
        <v>65</v>
      </c>
      <c r="BQ1">
        <f t="shared" si="1"/>
        <v>66</v>
      </c>
      <c r="BR1">
        <f t="shared" si="1"/>
        <v>67</v>
      </c>
      <c r="BS1">
        <f t="shared" si="1"/>
        <v>68</v>
      </c>
      <c r="BT1">
        <f t="shared" si="1"/>
        <v>69</v>
      </c>
      <c r="BU1">
        <f t="shared" si="1"/>
        <v>70</v>
      </c>
      <c r="BV1">
        <f t="shared" si="1"/>
        <v>71</v>
      </c>
      <c r="BW1">
        <f t="shared" si="1"/>
        <v>72</v>
      </c>
      <c r="BX1">
        <f t="shared" si="1"/>
        <v>73</v>
      </c>
    </row>
    <row r="2" spans="1:76" x14ac:dyDescent="0.25">
      <c r="AF2" s="441" t="s">
        <v>164</v>
      </c>
      <c r="AM2" s="441" t="s">
        <v>165</v>
      </c>
      <c r="AN2" s="441" t="s">
        <v>166</v>
      </c>
      <c r="AO2" s="441" t="s">
        <v>167</v>
      </c>
      <c r="AP2" s="441" t="s">
        <v>168</v>
      </c>
      <c r="AQ2" s="441" t="s">
        <v>169</v>
      </c>
      <c r="AR2" s="441" t="s">
        <v>170</v>
      </c>
      <c r="AS2" t="s">
        <v>171</v>
      </c>
      <c r="AT2" t="s">
        <v>172</v>
      </c>
      <c r="AU2" t="s">
        <v>173</v>
      </c>
      <c r="AV2" t="s">
        <v>174</v>
      </c>
      <c r="AW2" t="s">
        <v>175</v>
      </c>
      <c r="AX2" t="s">
        <v>176</v>
      </c>
      <c r="AY2" t="s">
        <v>177</v>
      </c>
      <c r="AZ2" t="s">
        <v>178</v>
      </c>
      <c r="BA2" t="s">
        <v>179</v>
      </c>
      <c r="BB2" t="s">
        <v>180</v>
      </c>
      <c r="BC2" t="s">
        <v>181</v>
      </c>
      <c r="BX2" t="s">
        <v>593</v>
      </c>
    </row>
    <row r="3" spans="1:76" x14ac:dyDescent="0.25">
      <c r="N3" t="s">
        <v>1113</v>
      </c>
      <c r="P3" t="s">
        <v>1114</v>
      </c>
      <c r="T3" t="s">
        <v>1115</v>
      </c>
      <c r="U3" t="s">
        <v>1116</v>
      </c>
      <c r="W3" t="s">
        <v>1117</v>
      </c>
      <c r="X3" t="s">
        <v>1118</v>
      </c>
      <c r="Y3" t="s">
        <v>1119</v>
      </c>
      <c r="Z3" t="s">
        <v>1120</v>
      </c>
      <c r="AA3" t="s">
        <v>345</v>
      </c>
      <c r="AB3" t="s">
        <v>1121</v>
      </c>
      <c r="AD3" t="s">
        <v>1122</v>
      </c>
      <c r="AF3" s="441" t="s">
        <v>182</v>
      </c>
      <c r="AM3" s="441" t="s">
        <v>1123</v>
      </c>
      <c r="AN3" s="441" t="s">
        <v>1123</v>
      </c>
      <c r="AO3" s="441" t="s">
        <v>1123</v>
      </c>
      <c r="AP3" s="441" t="s">
        <v>1123</v>
      </c>
      <c r="AQ3" s="441" t="s">
        <v>1123</v>
      </c>
      <c r="AR3" s="441" t="s">
        <v>1123</v>
      </c>
      <c r="AS3" t="s">
        <v>183</v>
      </c>
      <c r="AT3" t="s">
        <v>1124</v>
      </c>
      <c r="AU3" t="s">
        <v>1124</v>
      </c>
      <c r="AV3" t="s">
        <v>184</v>
      </c>
      <c r="AW3" t="s">
        <v>183</v>
      </c>
      <c r="AX3" t="s">
        <v>183</v>
      </c>
      <c r="AY3" t="s">
        <v>183</v>
      </c>
      <c r="AZ3" t="s">
        <v>183</v>
      </c>
      <c r="BA3" t="s">
        <v>1124</v>
      </c>
      <c r="BB3" t="s">
        <v>1124</v>
      </c>
      <c r="BC3" t="s">
        <v>1124</v>
      </c>
    </row>
    <row r="4" spans="1:76" s="14" customFormat="1" x14ac:dyDescent="0.25">
      <c r="A4" s="14" t="s">
        <v>185</v>
      </c>
      <c r="B4" s="14" t="s">
        <v>186</v>
      </c>
      <c r="C4" s="14" t="s">
        <v>436</v>
      </c>
      <c r="D4" t="s">
        <v>437</v>
      </c>
      <c r="E4" t="s">
        <v>438</v>
      </c>
      <c r="F4" t="s">
        <v>439</v>
      </c>
      <c r="G4" s="14" t="s">
        <v>188</v>
      </c>
      <c r="H4" t="s">
        <v>440</v>
      </c>
      <c r="I4" s="14" t="s">
        <v>189</v>
      </c>
      <c r="J4" t="s">
        <v>1125</v>
      </c>
      <c r="K4" t="s">
        <v>441</v>
      </c>
      <c r="L4" t="s">
        <v>442</v>
      </c>
      <c r="M4" t="s">
        <v>443</v>
      </c>
      <c r="N4" t="s">
        <v>444</v>
      </c>
      <c r="O4" t="s">
        <v>445</v>
      </c>
      <c r="P4" t="s">
        <v>446</v>
      </c>
      <c r="Q4" t="s">
        <v>447</v>
      </c>
      <c r="R4" t="s">
        <v>448</v>
      </c>
      <c r="S4" t="s">
        <v>1126</v>
      </c>
      <c r="T4" s="14" t="s">
        <v>190</v>
      </c>
      <c r="U4" s="14" t="s">
        <v>191</v>
      </c>
      <c r="V4" s="14" t="s">
        <v>192</v>
      </c>
      <c r="W4" s="14" t="s">
        <v>193</v>
      </c>
      <c r="X4" s="14" t="s">
        <v>194</v>
      </c>
      <c r="Y4" s="14" t="s">
        <v>195</v>
      </c>
      <c r="Z4" s="14" t="s">
        <v>196</v>
      </c>
      <c r="AA4" s="14" t="s">
        <v>197</v>
      </c>
      <c r="AB4" s="14" t="s">
        <v>198</v>
      </c>
      <c r="AC4" s="14" t="s">
        <v>199</v>
      </c>
      <c r="AD4" s="14" t="s">
        <v>200</v>
      </c>
      <c r="AE4" s="14" t="s">
        <v>201</v>
      </c>
      <c r="AF4" s="442" t="s">
        <v>149</v>
      </c>
      <c r="AG4" s="442" t="s">
        <v>202</v>
      </c>
      <c r="AH4" s="442" t="s">
        <v>203</v>
      </c>
      <c r="AI4" s="442" t="s">
        <v>204</v>
      </c>
      <c r="AJ4" s="442" t="s">
        <v>205</v>
      </c>
      <c r="AK4" s="442" t="s">
        <v>206</v>
      </c>
      <c r="AL4" s="442" t="s">
        <v>207</v>
      </c>
      <c r="AM4" s="442" t="s">
        <v>157</v>
      </c>
      <c r="AN4" s="442" t="s">
        <v>158</v>
      </c>
      <c r="AO4" s="442" t="s">
        <v>208</v>
      </c>
      <c r="AP4" s="442" t="s">
        <v>159</v>
      </c>
      <c r="AQ4" s="442" t="s">
        <v>160</v>
      </c>
      <c r="AR4" s="442" t="s">
        <v>209</v>
      </c>
      <c r="AS4" s="14" t="s">
        <v>210</v>
      </c>
      <c r="AT4" s="14" t="s">
        <v>211</v>
      </c>
      <c r="AU4" s="14" t="s">
        <v>212</v>
      </c>
      <c r="AV4" s="14" t="s">
        <v>213</v>
      </c>
      <c r="AW4" s="14" t="s">
        <v>214</v>
      </c>
      <c r="AX4" s="14" t="s">
        <v>215</v>
      </c>
      <c r="AY4" s="14" t="s">
        <v>216</v>
      </c>
      <c r="AZ4" s="14" t="s">
        <v>217</v>
      </c>
      <c r="BA4" s="14" t="s">
        <v>218</v>
      </c>
      <c r="BB4" s="14" t="s">
        <v>219</v>
      </c>
      <c r="BC4" s="14" t="s">
        <v>220</v>
      </c>
      <c r="BD4" s="14" t="s">
        <v>221</v>
      </c>
      <c r="BE4" t="s">
        <v>449</v>
      </c>
      <c r="BF4" t="s">
        <v>450</v>
      </c>
      <c r="BG4" t="s">
        <v>451</v>
      </c>
      <c r="BH4" t="s">
        <v>452</v>
      </c>
      <c r="BI4" t="s">
        <v>453</v>
      </c>
      <c r="BJ4" t="s">
        <v>454</v>
      </c>
      <c r="BK4" t="s">
        <v>455</v>
      </c>
      <c r="BL4" t="s">
        <v>456</v>
      </c>
      <c r="BM4" t="s">
        <v>457</v>
      </c>
      <c r="BN4" t="s">
        <v>458</v>
      </c>
      <c r="BO4" t="s">
        <v>459</v>
      </c>
      <c r="BP4" t="s">
        <v>460</v>
      </c>
      <c r="BQ4" t="s">
        <v>461</v>
      </c>
      <c r="BR4" t="s">
        <v>462</v>
      </c>
      <c r="BS4" t="s">
        <v>463</v>
      </c>
      <c r="BT4" t="s">
        <v>464</v>
      </c>
      <c r="BU4" t="s">
        <v>465</v>
      </c>
      <c r="BV4" t="s">
        <v>466</v>
      </c>
      <c r="BW4" t="s">
        <v>467</v>
      </c>
    </row>
    <row r="5" spans="1:76" x14ac:dyDescent="0.25">
      <c r="A5" t="s">
        <v>226</v>
      </c>
      <c r="B5" t="s">
        <v>227</v>
      </c>
      <c r="C5" t="s">
        <v>163</v>
      </c>
      <c r="D5" t="s">
        <v>986</v>
      </c>
      <c r="E5" t="s">
        <v>228</v>
      </c>
      <c r="G5" t="s">
        <v>229</v>
      </c>
      <c r="I5" t="s">
        <v>230</v>
      </c>
      <c r="T5">
        <v>1</v>
      </c>
      <c r="U5" t="s">
        <v>231</v>
      </c>
      <c r="V5" t="s">
        <v>232</v>
      </c>
      <c r="W5" t="s">
        <v>233</v>
      </c>
      <c r="Z5">
        <v>16.600000000000001</v>
      </c>
      <c r="AD5">
        <v>0.06</v>
      </c>
      <c r="AE5" t="s">
        <v>225</v>
      </c>
      <c r="AF5" s="441">
        <v>49.7</v>
      </c>
      <c r="AG5" s="441">
        <v>2.4999999999999999E-7</v>
      </c>
      <c r="AH5" s="441">
        <v>0.38400000000000001</v>
      </c>
      <c r="AI5" s="441">
        <v>0.113</v>
      </c>
      <c r="AJ5" s="441">
        <v>1.0500000000000001E-2</v>
      </c>
      <c r="AK5" s="441">
        <v>1.88E-5</v>
      </c>
      <c r="AL5" s="441">
        <v>1380</v>
      </c>
      <c r="AM5" s="441">
        <v>21.8</v>
      </c>
      <c r="AN5" s="441">
        <v>0</v>
      </c>
      <c r="AO5" s="441">
        <v>21.8</v>
      </c>
      <c r="AP5" s="441">
        <v>762.64</v>
      </c>
      <c r="AQ5" s="441">
        <v>657.36</v>
      </c>
      <c r="AR5" s="441">
        <v>1420</v>
      </c>
      <c r="AS5">
        <v>0</v>
      </c>
      <c r="AT5">
        <v>0</v>
      </c>
      <c r="AU5">
        <v>0</v>
      </c>
      <c r="AV5">
        <v>0.216</v>
      </c>
      <c r="AW5">
        <v>1.14E-2</v>
      </c>
      <c r="AX5">
        <v>2.19</v>
      </c>
      <c r="AY5">
        <v>1.6400000000000001E-2</v>
      </c>
      <c r="AZ5">
        <v>0</v>
      </c>
      <c r="BA5">
        <v>0</v>
      </c>
      <c r="BB5">
        <v>0</v>
      </c>
      <c r="BC5">
        <v>0</v>
      </c>
      <c r="BD5">
        <v>0</v>
      </c>
    </row>
    <row r="6" spans="1:76" s="392" customFormat="1" x14ac:dyDescent="0.25">
      <c r="A6" s="392" t="s">
        <v>472</v>
      </c>
      <c r="B6" s="392" t="s">
        <v>473</v>
      </c>
      <c r="C6" s="392" t="s">
        <v>499</v>
      </c>
      <c r="D6" s="392" t="s">
        <v>474</v>
      </c>
      <c r="E6" s="392" t="s">
        <v>283</v>
      </c>
      <c r="F6" s="392" t="s">
        <v>475</v>
      </c>
      <c r="G6" s="392" t="s">
        <v>476</v>
      </c>
      <c r="H6" s="392" t="s">
        <v>477</v>
      </c>
      <c r="I6" s="392" t="s">
        <v>223</v>
      </c>
      <c r="J6" s="392">
        <v>2021</v>
      </c>
      <c r="K6" s="392">
        <v>2022</v>
      </c>
      <c r="L6" s="393" t="s">
        <v>478</v>
      </c>
      <c r="M6" s="392" t="s">
        <v>479</v>
      </c>
      <c r="Q6" s="392" t="s">
        <v>472</v>
      </c>
      <c r="T6" s="392">
        <v>1</v>
      </c>
      <c r="U6" s="392" t="s">
        <v>231</v>
      </c>
      <c r="V6" s="392" t="s">
        <v>286</v>
      </c>
      <c r="W6" s="392" t="s">
        <v>287</v>
      </c>
      <c r="Z6" s="392">
        <v>145</v>
      </c>
      <c r="AE6" s="392" t="s">
        <v>225</v>
      </c>
      <c r="AM6" s="392">
        <v>388.76203964562802</v>
      </c>
      <c r="AN6" s="392">
        <v>0</v>
      </c>
      <c r="AO6" s="392">
        <v>388.76203964562802</v>
      </c>
      <c r="AP6" s="392">
        <v>2057.4768114359599</v>
      </c>
      <c r="AQ6" s="392">
        <v>0</v>
      </c>
      <c r="AR6" s="392">
        <v>2057.4768114359599</v>
      </c>
      <c r="AS6" s="392">
        <v>4.9116111</v>
      </c>
      <c r="AT6" s="392">
        <v>0.36197834210054902</v>
      </c>
      <c r="AU6" s="392">
        <v>0</v>
      </c>
      <c r="AV6" s="392">
        <v>0.34320043479054002</v>
      </c>
      <c r="AW6" s="392">
        <v>3.7165104663093002E-7</v>
      </c>
      <c r="AX6" s="392">
        <v>54.029206268613002</v>
      </c>
      <c r="AY6" s="392">
        <v>4.1278092068298397E-2</v>
      </c>
      <c r="AZ6" s="392">
        <v>0</v>
      </c>
      <c r="BA6" s="392">
        <v>0</v>
      </c>
      <c r="BB6" s="392">
        <v>0</v>
      </c>
      <c r="BC6" s="392">
        <v>1.9496049450603801</v>
      </c>
      <c r="BD6" s="392">
        <v>4.5356714008305596</v>
      </c>
      <c r="BE6" s="392">
        <v>1.46453530199834</v>
      </c>
      <c r="BF6" s="392">
        <v>207.98677030368501</v>
      </c>
      <c r="BG6" s="392">
        <v>1.18165457591289</v>
      </c>
      <c r="BH6" s="392">
        <v>206.66698959393801</v>
      </c>
      <c r="BI6" s="392">
        <v>0.138126133833777</v>
      </c>
      <c r="BL6" s="392">
        <v>0.15127275157099501</v>
      </c>
      <c r="BM6" s="392">
        <v>0.15127275157099501</v>
      </c>
      <c r="BN6" s="392">
        <v>4.4658830614615503</v>
      </c>
      <c r="BS6" s="392">
        <v>1.77334576E-12</v>
      </c>
      <c r="BT6" s="392">
        <v>0.495299527943032</v>
      </c>
      <c r="BU6" s="392">
        <v>2056.3202730442499</v>
      </c>
      <c r="BV6" s="392">
        <v>4.7200903355710902E-5</v>
      </c>
      <c r="BW6" s="392">
        <v>9.8553408198438195</v>
      </c>
    </row>
    <row r="7" spans="1:76" s="392" customFormat="1" x14ac:dyDescent="0.25">
      <c r="A7" s="392" t="s">
        <v>480</v>
      </c>
      <c r="B7" s="392" t="s">
        <v>473</v>
      </c>
      <c r="C7" s="392" t="s">
        <v>500</v>
      </c>
      <c r="D7" s="392" t="s">
        <v>481</v>
      </c>
      <c r="E7" s="392" t="s">
        <v>283</v>
      </c>
      <c r="F7" s="392" t="s">
        <v>475</v>
      </c>
      <c r="G7" s="392" t="s">
        <v>476</v>
      </c>
      <c r="H7" s="392" t="s">
        <v>477</v>
      </c>
      <c r="I7" s="392" t="s">
        <v>223</v>
      </c>
      <c r="J7" s="392">
        <v>2021</v>
      </c>
      <c r="K7" s="392">
        <v>2022</v>
      </c>
      <c r="L7" s="392" t="s">
        <v>482</v>
      </c>
      <c r="M7" s="392" t="s">
        <v>479</v>
      </c>
      <c r="Q7" s="392" t="s">
        <v>480</v>
      </c>
      <c r="T7" s="392">
        <v>1</v>
      </c>
      <c r="U7" s="392" t="s">
        <v>231</v>
      </c>
      <c r="V7" s="392" t="s">
        <v>284</v>
      </c>
      <c r="W7" s="392" t="s">
        <v>285</v>
      </c>
      <c r="Z7" s="392">
        <v>30</v>
      </c>
      <c r="AE7" s="392" t="s">
        <v>225</v>
      </c>
      <c r="AM7" s="392">
        <v>110.47707623817701</v>
      </c>
      <c r="AN7" s="392">
        <v>0</v>
      </c>
      <c r="AO7" s="392">
        <v>110.47707623817701</v>
      </c>
      <c r="AP7" s="392">
        <v>583.31498038635505</v>
      </c>
      <c r="AQ7" s="392">
        <v>0</v>
      </c>
      <c r="AR7" s="392">
        <v>583.31498038635505</v>
      </c>
      <c r="AS7" s="392">
        <v>6.6763249479495101</v>
      </c>
      <c r="AT7" s="392">
        <v>4.9928047186282597E-2</v>
      </c>
      <c r="AU7" s="392">
        <v>0</v>
      </c>
      <c r="AV7" s="392">
        <v>0.123939600179221</v>
      </c>
      <c r="AW7" s="392">
        <v>1.2891763658286999E-7</v>
      </c>
      <c r="AX7" s="392">
        <v>8.0828776478275692</v>
      </c>
      <c r="AY7" s="392">
        <v>1.05691409322299E-2</v>
      </c>
      <c r="AZ7" s="392">
        <v>0</v>
      </c>
      <c r="BA7" s="392">
        <v>0</v>
      </c>
      <c r="BB7" s="392">
        <v>0</v>
      </c>
      <c r="BC7" s="392">
        <v>2.9513264108338699</v>
      </c>
      <c r="BD7" s="392">
        <v>6.8620859705544497</v>
      </c>
      <c r="BE7" s="392">
        <v>0.30531567409461202</v>
      </c>
      <c r="BF7" s="392">
        <v>46.182631382056201</v>
      </c>
      <c r="BG7" s="392">
        <v>0.44563228618188799</v>
      </c>
      <c r="BH7" s="392">
        <v>45.702742796402397</v>
      </c>
      <c r="BI7" s="392">
        <v>3.4256299471884799E-2</v>
      </c>
      <c r="BL7" s="392">
        <v>3.4905030461372902E-2</v>
      </c>
      <c r="BM7" s="392">
        <v>3.4905030461372902E-2</v>
      </c>
      <c r="BN7" s="392">
        <v>1.05140417245427</v>
      </c>
      <c r="BS7" s="392">
        <v>6.4229602999999997E-13</v>
      </c>
      <c r="BT7" s="392">
        <v>9.9773512913804804E-2</v>
      </c>
      <c r="BU7" s="392">
        <v>582.929660710402</v>
      </c>
      <c r="BV7" s="392">
        <v>1.08460062839232E-5</v>
      </c>
      <c r="BW7" s="392">
        <v>2.9267827119096901</v>
      </c>
    </row>
    <row r="8" spans="1:76" x14ac:dyDescent="0.25">
      <c r="A8" t="s">
        <v>483</v>
      </c>
      <c r="B8" t="s">
        <v>484</v>
      </c>
      <c r="C8" t="s">
        <v>501</v>
      </c>
      <c r="D8" t="s">
        <v>485</v>
      </c>
      <c r="E8" t="s">
        <v>272</v>
      </c>
      <c r="F8" t="s">
        <v>486</v>
      </c>
      <c r="G8" t="s">
        <v>487</v>
      </c>
      <c r="H8" t="s">
        <v>477</v>
      </c>
      <c r="I8" t="s">
        <v>256</v>
      </c>
      <c r="J8">
        <v>2021</v>
      </c>
      <c r="K8">
        <v>2026</v>
      </c>
      <c r="L8" t="s">
        <v>488</v>
      </c>
      <c r="M8" t="s">
        <v>489</v>
      </c>
      <c r="P8" t="s">
        <v>489</v>
      </c>
      <c r="Q8" t="s">
        <v>275</v>
      </c>
      <c r="R8" t="s">
        <v>490</v>
      </c>
      <c r="T8">
        <v>1</v>
      </c>
      <c r="U8" t="s">
        <v>231</v>
      </c>
      <c r="V8" t="s">
        <v>277</v>
      </c>
      <c r="W8" t="s">
        <v>276</v>
      </c>
      <c r="Z8">
        <v>150.76</v>
      </c>
      <c r="AE8" t="s">
        <v>225</v>
      </c>
      <c r="AM8" s="441">
        <v>810.89597148752102</v>
      </c>
      <c r="AN8" s="441">
        <v>2607.9131396325602</v>
      </c>
      <c r="AO8" s="441">
        <v>3418.8091111200802</v>
      </c>
      <c r="AP8" s="441">
        <v>1710.5038447151201</v>
      </c>
      <c r="AQ8" s="441">
        <v>101.26904795751901</v>
      </c>
      <c r="AR8" s="441">
        <v>1811.77289267264</v>
      </c>
      <c r="AS8">
        <v>0</v>
      </c>
      <c r="AT8">
        <v>0</v>
      </c>
      <c r="AU8">
        <v>0</v>
      </c>
      <c r="AV8">
        <v>0.77145853062243996</v>
      </c>
      <c r="AW8">
        <v>1.5775785883252799E-5</v>
      </c>
      <c r="AX8">
        <v>1.0615392481047901</v>
      </c>
      <c r="AY8">
        <v>1.28779455578439E-2</v>
      </c>
      <c r="AZ8">
        <v>0</v>
      </c>
      <c r="BA8">
        <v>0</v>
      </c>
      <c r="BB8">
        <v>0</v>
      </c>
      <c r="BC8">
        <v>8.8812616218966692E-3</v>
      </c>
      <c r="BD8">
        <v>2.0632229839794E-2</v>
      </c>
      <c r="BE8">
        <v>0.20100329519513299</v>
      </c>
      <c r="BF8">
        <v>-153.896768984163</v>
      </c>
      <c r="BG8">
        <v>-248.13006432339</v>
      </c>
      <c r="BH8">
        <v>94.2332953392267</v>
      </c>
      <c r="BL8">
        <v>8.4009100618208002E-2</v>
      </c>
      <c r="BM8">
        <v>8.4009100618208002E-2</v>
      </c>
      <c r="BN8">
        <v>0.90619788236099597</v>
      </c>
      <c r="BS8">
        <v>6.7303693000000001E-13</v>
      </c>
      <c r="BT8">
        <v>0.26196702212499601</v>
      </c>
      <c r="BU8">
        <v>1795.7691908178699</v>
      </c>
      <c r="BV8">
        <v>1.6147737002190999E-5</v>
      </c>
      <c r="BW8">
        <v>0.77145853062243996</v>
      </c>
    </row>
    <row r="9" spans="1:76" x14ac:dyDescent="0.25">
      <c r="A9" t="s">
        <v>495</v>
      </c>
      <c r="B9" t="s">
        <v>473</v>
      </c>
      <c r="C9" t="s">
        <v>503</v>
      </c>
      <c r="D9" t="s">
        <v>496</v>
      </c>
      <c r="E9" t="s">
        <v>290</v>
      </c>
      <c r="F9" t="s">
        <v>497</v>
      </c>
      <c r="G9" t="s">
        <v>476</v>
      </c>
      <c r="H9" t="s">
        <v>477</v>
      </c>
      <c r="I9" t="s">
        <v>223</v>
      </c>
      <c r="J9">
        <v>2021</v>
      </c>
      <c r="K9">
        <v>2022</v>
      </c>
      <c r="L9" t="s">
        <v>498</v>
      </c>
      <c r="M9" t="s">
        <v>479</v>
      </c>
      <c r="Q9" t="s">
        <v>495</v>
      </c>
      <c r="T9">
        <v>1</v>
      </c>
      <c r="U9" t="s">
        <v>231</v>
      </c>
      <c r="V9" t="s">
        <v>291</v>
      </c>
      <c r="W9" t="s">
        <v>292</v>
      </c>
      <c r="Z9">
        <v>45</v>
      </c>
      <c r="AE9" t="s">
        <v>225</v>
      </c>
      <c r="AM9" s="441">
        <v>31.824328413275701</v>
      </c>
      <c r="AN9" s="441">
        <v>675</v>
      </c>
      <c r="AO9" s="441">
        <v>706.82432841327602</v>
      </c>
      <c r="AP9" s="441">
        <v>91.025972809925804</v>
      </c>
      <c r="AQ9" s="441">
        <v>0</v>
      </c>
      <c r="AR9" s="441">
        <v>91.025972809925804</v>
      </c>
      <c r="AS9">
        <v>41.174999999999997</v>
      </c>
      <c r="AT9">
        <v>0</v>
      </c>
      <c r="AU9">
        <v>0</v>
      </c>
      <c r="AV9">
        <v>5.5830256361238902E-2</v>
      </c>
      <c r="AW9">
        <v>2.1266832119370001E-8</v>
      </c>
      <c r="AX9">
        <v>0.95407062889340699</v>
      </c>
      <c r="AY9">
        <v>3.9616287687316504E-3</v>
      </c>
      <c r="AZ9">
        <v>0</v>
      </c>
      <c r="BA9">
        <v>0</v>
      </c>
      <c r="BB9">
        <v>0</v>
      </c>
      <c r="BC9">
        <v>0</v>
      </c>
      <c r="BD9">
        <v>0</v>
      </c>
      <c r="BE9">
        <v>5.1727111291468203E-2</v>
      </c>
      <c r="BF9">
        <v>-71.771974537901002</v>
      </c>
      <c r="BG9">
        <v>-82.444143834915195</v>
      </c>
      <c r="BH9">
        <v>10.6570983637423</v>
      </c>
      <c r="BI9">
        <v>1.50709332718753E-2</v>
      </c>
      <c r="BL9">
        <v>1.4504439290863201E-2</v>
      </c>
      <c r="BM9">
        <v>1.4504439290863201E-2</v>
      </c>
      <c r="BN9">
        <v>0.17096917920448401</v>
      </c>
      <c r="BS9">
        <v>1.4558828E-13</v>
      </c>
      <c r="BT9">
        <v>3.7865807678735902E-2</v>
      </c>
      <c r="BU9">
        <v>90.472638713463994</v>
      </c>
      <c r="BV9">
        <v>2.2663179358184801E-6</v>
      </c>
      <c r="BW9">
        <v>3.8414269840288799</v>
      </c>
    </row>
    <row r="10" spans="1:76" x14ac:dyDescent="0.25">
      <c r="A10" t="s">
        <v>491</v>
      </c>
      <c r="B10" t="s">
        <v>473</v>
      </c>
      <c r="C10" t="s">
        <v>502</v>
      </c>
      <c r="D10" t="s">
        <v>492</v>
      </c>
      <c r="E10" t="s">
        <v>334</v>
      </c>
      <c r="F10" t="s">
        <v>493</v>
      </c>
      <c r="G10" t="s">
        <v>476</v>
      </c>
      <c r="H10" t="s">
        <v>477</v>
      </c>
      <c r="I10" t="s">
        <v>223</v>
      </c>
      <c r="J10">
        <v>2021</v>
      </c>
      <c r="K10">
        <v>2022</v>
      </c>
      <c r="L10" t="s">
        <v>494</v>
      </c>
      <c r="M10" t="s">
        <v>479</v>
      </c>
      <c r="Q10" t="s">
        <v>491</v>
      </c>
      <c r="T10">
        <v>1</v>
      </c>
      <c r="U10" t="s">
        <v>231</v>
      </c>
      <c r="V10" t="s">
        <v>335</v>
      </c>
      <c r="W10" t="s">
        <v>336</v>
      </c>
      <c r="Z10">
        <v>40</v>
      </c>
      <c r="AE10" t="s">
        <v>225</v>
      </c>
      <c r="AM10" s="441">
        <v>120.00992137294701</v>
      </c>
      <c r="AN10" s="441">
        <v>0</v>
      </c>
      <c r="AO10" s="441">
        <v>120.00992137294701</v>
      </c>
      <c r="AP10" s="441">
        <v>1562.3195128740099</v>
      </c>
      <c r="AQ10" s="441">
        <v>864</v>
      </c>
      <c r="AR10" s="441">
        <v>2426.3195128740099</v>
      </c>
      <c r="AS10">
        <v>0</v>
      </c>
      <c r="AT10">
        <v>0</v>
      </c>
      <c r="AU10">
        <v>0</v>
      </c>
      <c r="AV10">
        <v>0.50155751986225205</v>
      </c>
      <c r="AW10">
        <v>1.5895335139121101E-3</v>
      </c>
      <c r="AX10">
        <v>1.1862795017213299</v>
      </c>
      <c r="AY10">
        <v>1.2753528672162E-2</v>
      </c>
      <c r="AZ10">
        <v>0</v>
      </c>
      <c r="BA10">
        <v>0</v>
      </c>
      <c r="BB10">
        <v>0</v>
      </c>
      <c r="BC10">
        <v>0</v>
      </c>
      <c r="BD10">
        <v>0</v>
      </c>
      <c r="BE10">
        <v>0.13939051215557999</v>
      </c>
      <c r="BF10">
        <v>91.918585561511307</v>
      </c>
      <c r="BG10">
        <v>-0.213918492344747</v>
      </c>
      <c r="BH10">
        <v>90.777994978267301</v>
      </c>
      <c r="BI10">
        <v>1.3545090755887499</v>
      </c>
      <c r="BL10">
        <v>4.9241687333651599E-2</v>
      </c>
      <c r="BM10">
        <v>4.9241687333651599E-2</v>
      </c>
      <c r="BN10">
        <v>0.49134566359375598</v>
      </c>
      <c r="BS10">
        <v>2.3551429881542001E-7</v>
      </c>
      <c r="BT10">
        <v>0.21704868752328099</v>
      </c>
      <c r="BU10">
        <v>2598.6413606525098</v>
      </c>
      <c r="BV10">
        <v>8.9503741996093501E-5</v>
      </c>
      <c r="BW10">
        <v>4.07878185213323</v>
      </c>
    </row>
    <row r="11" spans="1:76" x14ac:dyDescent="0.25">
      <c r="A11" t="s">
        <v>293</v>
      </c>
      <c r="B11" t="s">
        <v>294</v>
      </c>
      <c r="C11" t="s">
        <v>295</v>
      </c>
      <c r="D11" t="s">
        <v>1002</v>
      </c>
      <c r="E11" t="s">
        <v>296</v>
      </c>
      <c r="G11" t="s">
        <v>255</v>
      </c>
      <c r="I11" t="s">
        <v>262</v>
      </c>
      <c r="T11">
        <v>1</v>
      </c>
      <c r="U11" t="s">
        <v>231</v>
      </c>
      <c r="V11" t="s">
        <v>297</v>
      </c>
      <c r="W11" t="s">
        <v>298</v>
      </c>
      <c r="Z11">
        <v>100</v>
      </c>
      <c r="AE11" t="s">
        <v>225</v>
      </c>
      <c r="AF11" s="441">
        <v>-127</v>
      </c>
      <c r="AG11" s="441">
        <v>4.1100000000000001E-7</v>
      </c>
      <c r="AH11" s="441">
        <v>3.0699999999999998E-3</v>
      </c>
      <c r="AI11" s="441">
        <v>9.1600000000000001E-2</v>
      </c>
      <c r="AJ11" s="441">
        <v>7.8700000000000006E-2</v>
      </c>
      <c r="AK11" s="441">
        <v>2.7500000000000001E-5</v>
      </c>
      <c r="AL11" s="441">
        <v>59.1</v>
      </c>
      <c r="AM11" s="441">
        <v>14.2</v>
      </c>
      <c r="AN11" s="441">
        <v>1630</v>
      </c>
      <c r="AO11" s="441">
        <v>1650</v>
      </c>
      <c r="AP11" s="441">
        <v>59</v>
      </c>
      <c r="AQ11" s="441">
        <v>3.79</v>
      </c>
      <c r="AR11" s="441">
        <v>62.8</v>
      </c>
      <c r="AS11">
        <v>0</v>
      </c>
      <c r="AT11">
        <v>0</v>
      </c>
      <c r="AU11">
        <v>0</v>
      </c>
      <c r="AV11">
        <v>829</v>
      </c>
      <c r="AW11">
        <v>7.4399999999999999E-7</v>
      </c>
      <c r="AX11">
        <v>9.4399999999999996E-4</v>
      </c>
      <c r="AY11">
        <v>2.3099999999999999E-5</v>
      </c>
      <c r="AZ11">
        <v>0</v>
      </c>
      <c r="BA11">
        <v>0</v>
      </c>
      <c r="BB11">
        <v>0</v>
      </c>
      <c r="BC11">
        <v>0</v>
      </c>
      <c r="BD11">
        <v>0</v>
      </c>
    </row>
    <row r="12" spans="1:76" x14ac:dyDescent="0.25">
      <c r="A12" t="s">
        <v>288</v>
      </c>
      <c r="B12" t="s">
        <v>240</v>
      </c>
      <c r="C12" t="s">
        <v>289</v>
      </c>
      <c r="D12" t="s">
        <v>1001</v>
      </c>
      <c r="E12" t="s">
        <v>290</v>
      </c>
      <c r="G12" t="s">
        <v>222</v>
      </c>
      <c r="I12" t="s">
        <v>223</v>
      </c>
      <c r="T12">
        <v>1</v>
      </c>
      <c r="U12" t="s">
        <v>231</v>
      </c>
      <c r="V12" t="s">
        <v>291</v>
      </c>
      <c r="W12" t="s">
        <v>292</v>
      </c>
      <c r="Z12">
        <v>45</v>
      </c>
      <c r="AE12" t="s">
        <v>225</v>
      </c>
      <c r="AF12" s="441">
        <v>-73.372500000000002</v>
      </c>
      <c r="AG12" s="441">
        <v>1.6331800000000001E-13</v>
      </c>
      <c r="AH12" s="441">
        <v>1.3888500000000001E-3</v>
      </c>
      <c r="AI12" s="441">
        <v>4.13455E-2</v>
      </c>
      <c r="AJ12" s="441">
        <v>6.75451E-3</v>
      </c>
      <c r="AK12" s="441">
        <v>2.02374E-6</v>
      </c>
      <c r="AL12" s="441">
        <v>84.882599999999996</v>
      </c>
      <c r="AM12" s="441">
        <v>27.172499999999999</v>
      </c>
      <c r="AN12" s="441">
        <v>810</v>
      </c>
      <c r="AO12" s="441">
        <v>837.17200000000003</v>
      </c>
      <c r="AP12" s="441">
        <v>94.789900000000003</v>
      </c>
      <c r="AQ12" s="441">
        <v>0</v>
      </c>
      <c r="AR12" s="441">
        <v>94.789900000000003</v>
      </c>
      <c r="AS12">
        <v>49.41</v>
      </c>
      <c r="AT12">
        <v>0</v>
      </c>
      <c r="AU12">
        <v>0</v>
      </c>
      <c r="AV12">
        <v>5.6598999999999997E-2</v>
      </c>
      <c r="AW12">
        <v>4.8952600000000001E-7</v>
      </c>
      <c r="AX12">
        <v>0.94886499999999996</v>
      </c>
      <c r="AY12">
        <v>3.9224699999999999E-3</v>
      </c>
      <c r="AZ12">
        <v>0</v>
      </c>
      <c r="BA12">
        <v>0</v>
      </c>
      <c r="BB12">
        <v>0</v>
      </c>
      <c r="BC12">
        <v>0</v>
      </c>
      <c r="BD12">
        <v>0</v>
      </c>
    </row>
    <row r="13" spans="1:76" x14ac:dyDescent="0.25">
      <c r="A13" t="s">
        <v>270</v>
      </c>
      <c r="B13" t="s">
        <v>240</v>
      </c>
      <c r="C13" t="s">
        <v>271</v>
      </c>
      <c r="D13" t="s">
        <v>999</v>
      </c>
      <c r="E13" t="s">
        <v>272</v>
      </c>
      <c r="G13" t="s">
        <v>222</v>
      </c>
      <c r="I13" t="s">
        <v>223</v>
      </c>
      <c r="T13">
        <v>1</v>
      </c>
      <c r="U13" t="s">
        <v>231</v>
      </c>
      <c r="V13" t="s">
        <v>273</v>
      </c>
      <c r="W13" t="s">
        <v>274</v>
      </c>
      <c r="Z13">
        <v>160</v>
      </c>
      <c r="AE13" t="s">
        <v>225</v>
      </c>
      <c r="AF13" s="441">
        <v>-182.18199999999999</v>
      </c>
      <c r="AG13" s="441">
        <v>2.2146699999999999E-12</v>
      </c>
      <c r="AH13" s="441">
        <v>1.8172399999999998E-2</v>
      </c>
      <c r="AI13" s="441">
        <v>0.12348000000000001</v>
      </c>
      <c r="AJ13" s="441">
        <v>2.3835100000000001E-2</v>
      </c>
      <c r="AK13" s="441">
        <v>2.5369300000000001E-5</v>
      </c>
      <c r="AL13" s="441">
        <v>1699.63</v>
      </c>
      <c r="AM13" s="441">
        <v>99.072599999999994</v>
      </c>
      <c r="AN13" s="441">
        <v>3552</v>
      </c>
      <c r="AO13" s="441">
        <v>3651.07</v>
      </c>
      <c r="AP13" s="441">
        <v>1822.51</v>
      </c>
      <c r="AQ13" s="441">
        <v>0</v>
      </c>
      <c r="AR13" s="441">
        <v>1822.51</v>
      </c>
      <c r="AS13">
        <v>0</v>
      </c>
      <c r="AT13">
        <v>0</v>
      </c>
      <c r="AU13">
        <v>0</v>
      </c>
      <c r="AV13">
        <v>0.529165</v>
      </c>
      <c r="AW13">
        <v>3.17699E-6</v>
      </c>
      <c r="AX13">
        <v>0.79280300000000004</v>
      </c>
      <c r="AY13">
        <v>4.8673099999999997E-2</v>
      </c>
      <c r="AZ13">
        <v>0</v>
      </c>
      <c r="BA13">
        <v>0</v>
      </c>
      <c r="BB13">
        <v>0</v>
      </c>
      <c r="BC13">
        <v>0</v>
      </c>
      <c r="BD13">
        <v>0</v>
      </c>
    </row>
    <row r="14" spans="1:76" x14ac:dyDescent="0.25">
      <c r="A14" t="s">
        <v>973</v>
      </c>
      <c r="C14" t="s">
        <v>970</v>
      </c>
      <c r="D14" t="s">
        <v>970</v>
      </c>
      <c r="G14" t="s">
        <v>971</v>
      </c>
      <c r="I14" t="s">
        <v>262</v>
      </c>
      <c r="K14">
        <v>2027</v>
      </c>
      <c r="M14" t="s">
        <v>972</v>
      </c>
      <c r="P14" t="s">
        <v>972</v>
      </c>
      <c r="T14">
        <v>1</v>
      </c>
      <c r="U14" t="s">
        <v>231</v>
      </c>
      <c r="Z14">
        <v>50</v>
      </c>
      <c r="AE14" t="s">
        <v>225</v>
      </c>
      <c r="AF14" s="441">
        <v>91.3</v>
      </c>
      <c r="AG14" s="443">
        <v>5.1800000000000004E-6</v>
      </c>
      <c r="AH14" s="443">
        <v>0.20300000000000001</v>
      </c>
      <c r="AI14" s="443">
        <v>0.25800000000000001</v>
      </c>
      <c r="AJ14" s="443">
        <v>0.32500000000000001</v>
      </c>
      <c r="AK14" s="443">
        <v>4.1399999999999998E-4</v>
      </c>
      <c r="AL14" s="441">
        <v>1250</v>
      </c>
      <c r="AM14" s="441">
        <v>409</v>
      </c>
      <c r="AN14" s="441">
        <v>67.3</v>
      </c>
      <c r="AO14" s="441">
        <v>476</v>
      </c>
      <c r="AP14" s="441">
        <v>701</v>
      </c>
      <c r="AQ14" s="441">
        <v>1170</v>
      </c>
      <c r="AR14" s="441">
        <v>1880</v>
      </c>
      <c r="AS14">
        <v>52.51</v>
      </c>
      <c r="AT14">
        <v>0</v>
      </c>
      <c r="AU14">
        <v>0</v>
      </c>
      <c r="AV14">
        <v>0.751</v>
      </c>
      <c r="AW14" s="268">
        <v>1.1000000000000001E-6</v>
      </c>
      <c r="AX14">
        <v>2.1800000000000002</v>
      </c>
      <c r="AY14" s="268">
        <v>0.16200000000000001</v>
      </c>
      <c r="AZ14">
        <v>0</v>
      </c>
      <c r="BA14">
        <v>0</v>
      </c>
      <c r="BB14">
        <v>0</v>
      </c>
      <c r="BC14">
        <v>0</v>
      </c>
      <c r="BD14">
        <v>0</v>
      </c>
    </row>
    <row r="15" spans="1:76" x14ac:dyDescent="0.25">
      <c r="A15" t="s">
        <v>414</v>
      </c>
      <c r="B15" t="s">
        <v>227</v>
      </c>
      <c r="C15" t="s">
        <v>415</v>
      </c>
      <c r="D15" t="s">
        <v>1003</v>
      </c>
      <c r="E15" t="s">
        <v>416</v>
      </c>
      <c r="G15" t="s">
        <v>229</v>
      </c>
      <c r="I15" t="s">
        <v>230</v>
      </c>
      <c r="T15">
        <v>1</v>
      </c>
      <c r="U15" t="s">
        <v>224</v>
      </c>
      <c r="V15" t="s">
        <v>417</v>
      </c>
      <c r="W15" t="s">
        <v>418</v>
      </c>
      <c r="Z15">
        <v>31</v>
      </c>
      <c r="AE15" t="s">
        <v>225</v>
      </c>
      <c r="AF15" s="441">
        <v>15</v>
      </c>
      <c r="AG15" s="441">
        <v>1.9000000000000001E-5</v>
      </c>
      <c r="AH15" s="441">
        <v>9.2399999999999999E-3</v>
      </c>
      <c r="AI15" s="441">
        <v>4.3999999999999997E-2</v>
      </c>
      <c r="AJ15" s="441">
        <v>4.7800000000000004E-3</v>
      </c>
      <c r="AK15" s="441">
        <v>2.0999999999999999E-5</v>
      </c>
      <c r="AL15" s="441">
        <v>286</v>
      </c>
      <c r="AM15" s="441">
        <v>22.4</v>
      </c>
      <c r="AN15" s="441">
        <v>0</v>
      </c>
      <c r="AO15" s="441">
        <v>22.4</v>
      </c>
      <c r="AP15" s="441">
        <v>219</v>
      </c>
      <c r="AQ15" s="441">
        <v>93</v>
      </c>
      <c r="AR15" s="441">
        <v>312</v>
      </c>
      <c r="AT15">
        <v>0</v>
      </c>
      <c r="AU15">
        <v>0</v>
      </c>
      <c r="BC15">
        <v>0</v>
      </c>
      <c r="BD15">
        <v>0</v>
      </c>
    </row>
    <row r="16" spans="1:76" x14ac:dyDescent="0.25">
      <c r="A16" t="s">
        <v>740</v>
      </c>
      <c r="B16" t="s">
        <v>473</v>
      </c>
      <c r="C16" t="s">
        <v>425</v>
      </c>
      <c r="D16" t="s">
        <v>741</v>
      </c>
      <c r="E16" t="s">
        <v>426</v>
      </c>
      <c r="F16" t="s">
        <v>742</v>
      </c>
      <c r="G16" t="s">
        <v>476</v>
      </c>
      <c r="H16" t="s">
        <v>477</v>
      </c>
      <c r="I16" t="s">
        <v>223</v>
      </c>
      <c r="J16">
        <v>2021</v>
      </c>
      <c r="K16">
        <v>2022</v>
      </c>
      <c r="L16" t="s">
        <v>743</v>
      </c>
      <c r="M16" t="s">
        <v>479</v>
      </c>
      <c r="Q16" t="s">
        <v>740</v>
      </c>
      <c r="T16">
        <v>1</v>
      </c>
      <c r="U16" t="s">
        <v>231</v>
      </c>
      <c r="V16" t="s">
        <v>427</v>
      </c>
      <c r="W16" t="s">
        <v>428</v>
      </c>
      <c r="Z16">
        <v>250</v>
      </c>
      <c r="AE16" t="s">
        <v>225</v>
      </c>
      <c r="AM16" s="441">
        <v>178.91159375315399</v>
      </c>
      <c r="AN16" s="441">
        <v>0</v>
      </c>
      <c r="AO16" s="441">
        <v>178.91159375315399</v>
      </c>
      <c r="AP16" s="441">
        <v>1277.40761039018</v>
      </c>
      <c r="AQ16" s="441">
        <v>810</v>
      </c>
      <c r="AR16" s="441">
        <v>2087.4076103901798</v>
      </c>
      <c r="AS16">
        <v>0</v>
      </c>
      <c r="AT16">
        <v>0</v>
      </c>
      <c r="AU16">
        <v>0</v>
      </c>
      <c r="AV16">
        <v>0.63152794444251004</v>
      </c>
      <c r="AW16">
        <v>3.9059808731685099E-4</v>
      </c>
      <c r="AX16">
        <v>0.87422933479777898</v>
      </c>
      <c r="AY16">
        <v>5.0428831791197198E-2</v>
      </c>
      <c r="AZ16">
        <v>0</v>
      </c>
      <c r="BA16">
        <v>0</v>
      </c>
      <c r="BB16">
        <v>0</v>
      </c>
      <c r="BC16">
        <v>0</v>
      </c>
      <c r="BD16">
        <v>0</v>
      </c>
      <c r="BE16">
        <v>0.214328951243004</v>
      </c>
      <c r="BF16">
        <v>95.625619883165101</v>
      </c>
      <c r="BG16">
        <v>-0.84103253346222595</v>
      </c>
      <c r="BH16">
        <v>96.129699828532907</v>
      </c>
      <c r="BI16">
        <v>0.33695258809441803</v>
      </c>
      <c r="BL16">
        <v>5.58198773744146E-2</v>
      </c>
      <c r="BM16">
        <v>5.58198773744146E-2</v>
      </c>
      <c r="BN16">
        <v>0.58746026473349</v>
      </c>
      <c r="BS16">
        <v>1.5742466669130801E-4</v>
      </c>
      <c r="BT16">
        <v>0.229932982690392</v>
      </c>
      <c r="BU16">
        <v>2167.7158135487698</v>
      </c>
      <c r="BV16">
        <v>1.4139267470590099E-5</v>
      </c>
      <c r="BW16">
        <v>24.851468839993</v>
      </c>
    </row>
    <row r="17" spans="1:75" x14ac:dyDescent="0.25">
      <c r="A17" t="s">
        <v>785</v>
      </c>
      <c r="B17" t="s">
        <v>473</v>
      </c>
      <c r="C17" t="s">
        <v>786</v>
      </c>
      <c r="D17" t="s">
        <v>787</v>
      </c>
      <c r="E17" t="s">
        <v>429</v>
      </c>
      <c r="F17" t="s">
        <v>788</v>
      </c>
      <c r="G17" t="s">
        <v>476</v>
      </c>
      <c r="H17" t="s">
        <v>477</v>
      </c>
      <c r="I17" t="s">
        <v>223</v>
      </c>
      <c r="J17">
        <v>2021</v>
      </c>
      <c r="K17">
        <v>2022</v>
      </c>
      <c r="L17" t="s">
        <v>789</v>
      </c>
      <c r="M17" t="s">
        <v>479</v>
      </c>
      <c r="Q17" t="s">
        <v>785</v>
      </c>
      <c r="T17">
        <v>1</v>
      </c>
      <c r="U17" t="s">
        <v>231</v>
      </c>
      <c r="V17" t="s">
        <v>430</v>
      </c>
      <c r="W17" t="s">
        <v>431</v>
      </c>
      <c r="Z17">
        <v>32</v>
      </c>
      <c r="AE17" t="s">
        <v>225</v>
      </c>
      <c r="AM17" s="441">
        <v>207.62644065474399</v>
      </c>
      <c r="AN17" s="441">
        <v>0</v>
      </c>
      <c r="AO17" s="441">
        <v>207.62644065474399</v>
      </c>
      <c r="AP17" s="441">
        <v>1387.6187861949199</v>
      </c>
      <c r="AQ17" s="441">
        <v>1300</v>
      </c>
      <c r="AR17" s="441">
        <v>2687.6187861949202</v>
      </c>
      <c r="AS17">
        <v>0</v>
      </c>
      <c r="AT17">
        <v>0</v>
      </c>
      <c r="AU17">
        <v>0</v>
      </c>
      <c r="AV17">
        <v>0.42874521436183799</v>
      </c>
      <c r="AW17">
        <v>2.9243883308607998E-7</v>
      </c>
      <c r="AX17">
        <v>0.76999476643456</v>
      </c>
      <c r="AY17">
        <v>2.6079064459485199E-2</v>
      </c>
      <c r="AZ17">
        <v>0</v>
      </c>
      <c r="BA17">
        <v>0</v>
      </c>
      <c r="BB17">
        <v>0</v>
      </c>
      <c r="BC17">
        <v>0</v>
      </c>
      <c r="BD17">
        <v>0</v>
      </c>
      <c r="BE17">
        <v>0.144583631771003</v>
      </c>
      <c r="BF17">
        <v>95.088104892065601</v>
      </c>
      <c r="BG17">
        <v>0.57906392260341899</v>
      </c>
      <c r="BH17">
        <v>94.444197135932498</v>
      </c>
      <c r="BI17">
        <v>6.4843833529728598E-2</v>
      </c>
      <c r="BL17">
        <v>3.8813920909017398E-2</v>
      </c>
      <c r="BM17">
        <v>3.8813920909017398E-2</v>
      </c>
      <c r="BN17">
        <v>0.418658916278289</v>
      </c>
      <c r="BS17">
        <v>8.6945901000000003E-13</v>
      </c>
      <c r="BT17">
        <v>0.305366523332461</v>
      </c>
      <c r="BU17">
        <v>2815.1641849736902</v>
      </c>
      <c r="BV17">
        <v>1.69753850794503E-5</v>
      </c>
      <c r="BW17">
        <v>7.3184213197165002</v>
      </c>
    </row>
    <row r="18" spans="1:75" x14ac:dyDescent="0.25">
      <c r="A18" t="s">
        <v>419</v>
      </c>
      <c r="B18" t="s">
        <v>420</v>
      </c>
      <c r="C18" t="s">
        <v>421</v>
      </c>
      <c r="D18" t="s">
        <v>1004</v>
      </c>
      <c r="E18" t="s">
        <v>422</v>
      </c>
      <c r="G18" t="s">
        <v>229</v>
      </c>
      <c r="I18" t="s">
        <v>262</v>
      </c>
      <c r="T18">
        <v>1</v>
      </c>
      <c r="U18" t="s">
        <v>183</v>
      </c>
      <c r="V18" t="s">
        <v>423</v>
      </c>
      <c r="W18" t="s">
        <v>424</v>
      </c>
      <c r="Z18">
        <v>100</v>
      </c>
      <c r="AE18" t="s">
        <v>225</v>
      </c>
      <c r="AF18" s="441">
        <v>1.26</v>
      </c>
      <c r="AG18" s="441">
        <v>2.5200000000000001E-11</v>
      </c>
      <c r="AH18" s="441">
        <v>2.22E-4</v>
      </c>
      <c r="AI18" s="441">
        <v>2.8900000000000002E-3</v>
      </c>
      <c r="AJ18" s="441">
        <v>3.48E-4</v>
      </c>
      <c r="AK18" s="441">
        <v>6.7800000000000003E-6</v>
      </c>
      <c r="AL18" s="441">
        <v>19.3</v>
      </c>
      <c r="AM18" s="441">
        <v>8.66</v>
      </c>
      <c r="AN18" s="441">
        <v>0</v>
      </c>
      <c r="AO18" s="441">
        <v>8.66</v>
      </c>
      <c r="AP18" s="441">
        <v>19.8</v>
      </c>
      <c r="AQ18" s="441">
        <v>0</v>
      </c>
      <c r="AR18" s="441">
        <v>19.8</v>
      </c>
      <c r="AS18">
        <v>0.47</v>
      </c>
      <c r="AT18">
        <v>0</v>
      </c>
      <c r="AU18">
        <v>0</v>
      </c>
      <c r="AV18">
        <v>1.46E-2</v>
      </c>
      <c r="AW18">
        <v>4.7600000000000002E-4</v>
      </c>
      <c r="AX18">
        <v>4.5499999999999999E-2</v>
      </c>
      <c r="AY18">
        <v>2.0599999999999999E-4</v>
      </c>
      <c r="AZ18">
        <v>0</v>
      </c>
      <c r="BA18">
        <v>0</v>
      </c>
      <c r="BB18">
        <v>0</v>
      </c>
      <c r="BC18">
        <v>0</v>
      </c>
      <c r="BD18">
        <v>0</v>
      </c>
    </row>
    <row r="19" spans="1:75" x14ac:dyDescent="0.25">
      <c r="A19" t="s">
        <v>432</v>
      </c>
      <c r="B19" t="s">
        <v>317</v>
      </c>
      <c r="C19" t="s">
        <v>433</v>
      </c>
      <c r="D19" t="s">
        <v>1005</v>
      </c>
      <c r="E19" t="s">
        <v>422</v>
      </c>
      <c r="G19" t="s">
        <v>229</v>
      </c>
      <c r="I19" t="s">
        <v>262</v>
      </c>
      <c r="T19">
        <v>1</v>
      </c>
      <c r="U19" t="s">
        <v>231</v>
      </c>
      <c r="V19" t="s">
        <v>434</v>
      </c>
      <c r="W19" t="s">
        <v>435</v>
      </c>
      <c r="Z19">
        <v>120</v>
      </c>
      <c r="AD19">
        <v>8.3330000000000001E-3</v>
      </c>
      <c r="AE19" t="s">
        <v>225</v>
      </c>
      <c r="AF19" s="441">
        <v>87.3</v>
      </c>
      <c r="AG19" s="441">
        <v>9.8200000000000008E-6</v>
      </c>
      <c r="AH19" s="441">
        <v>9.9000000000000008E-3</v>
      </c>
      <c r="AI19" s="441">
        <v>0.20899999999999999</v>
      </c>
      <c r="AJ19" s="441">
        <v>6.8599999999999994E-2</v>
      </c>
      <c r="AK19" s="441">
        <v>7.3499999999999999E-6</v>
      </c>
      <c r="AL19" s="441">
        <v>1350</v>
      </c>
      <c r="AM19" s="441">
        <v>130</v>
      </c>
      <c r="AN19" s="441">
        <v>0</v>
      </c>
      <c r="AO19" s="441">
        <v>130</v>
      </c>
      <c r="AP19" s="441">
        <v>1430</v>
      </c>
      <c r="AQ19" s="441">
        <v>29.2</v>
      </c>
      <c r="AR19" s="441">
        <v>1460</v>
      </c>
      <c r="AS19">
        <v>153</v>
      </c>
      <c r="AT19">
        <v>0</v>
      </c>
      <c r="AU19">
        <v>0</v>
      </c>
      <c r="AV19">
        <v>0.41199999999999998</v>
      </c>
      <c r="AW19">
        <v>1.58E-3</v>
      </c>
      <c r="AX19">
        <v>1.0499999999999999E-3</v>
      </c>
      <c r="AY19">
        <v>6.7999999999999996E-3</v>
      </c>
      <c r="AZ19">
        <v>0</v>
      </c>
      <c r="BA19">
        <v>6.2899999999999996E-3</v>
      </c>
      <c r="BB19">
        <v>0</v>
      </c>
      <c r="BC19">
        <v>0</v>
      </c>
      <c r="BD19">
        <v>0</v>
      </c>
    </row>
    <row r="20" spans="1:75" x14ac:dyDescent="0.25">
      <c r="A20" t="s">
        <v>265</v>
      </c>
      <c r="B20" t="s">
        <v>240</v>
      </c>
      <c r="C20" t="s">
        <v>266</v>
      </c>
      <c r="D20" t="s">
        <v>998</v>
      </c>
      <c r="E20" t="s">
        <v>267</v>
      </c>
      <c r="G20" t="s">
        <v>222</v>
      </c>
      <c r="I20" t="s">
        <v>223</v>
      </c>
      <c r="T20">
        <v>1</v>
      </c>
      <c r="U20" t="s">
        <v>231</v>
      </c>
      <c r="V20" t="s">
        <v>268</v>
      </c>
      <c r="W20" t="s">
        <v>269</v>
      </c>
      <c r="Z20">
        <v>360</v>
      </c>
      <c r="AE20" t="s">
        <v>225</v>
      </c>
      <c r="AF20" s="441">
        <v>-29.369900000000001</v>
      </c>
      <c r="AG20" s="441">
        <v>1.6410600000000001E-12</v>
      </c>
      <c r="AH20" s="441">
        <v>1.94691E-2</v>
      </c>
      <c r="AI20" s="441">
        <v>0.24992500000000001</v>
      </c>
      <c r="AJ20" s="441">
        <v>5.7695700000000003E-2</v>
      </c>
      <c r="AK20" s="441">
        <v>2.5426200000000001E-5</v>
      </c>
      <c r="AL20" s="441">
        <v>2006.11</v>
      </c>
      <c r="AM20" s="441">
        <v>345.06700000000001</v>
      </c>
      <c r="AN20" s="441">
        <v>2808</v>
      </c>
      <c r="AO20" s="441">
        <v>3153.07</v>
      </c>
      <c r="AP20" s="441">
        <v>2101.25</v>
      </c>
      <c r="AQ20" s="441">
        <v>0</v>
      </c>
      <c r="AR20" s="441">
        <v>2101.25</v>
      </c>
      <c r="AS20">
        <v>0</v>
      </c>
      <c r="AT20">
        <v>0</v>
      </c>
      <c r="AU20">
        <v>0</v>
      </c>
      <c r="AV20">
        <v>0.43399799999999999</v>
      </c>
      <c r="AW20">
        <v>7.7088100000000005E-6</v>
      </c>
      <c r="AX20">
        <v>1.5906899999999999</v>
      </c>
      <c r="AY20">
        <v>3.7617100000000001E-2</v>
      </c>
      <c r="AZ20">
        <v>0</v>
      </c>
      <c r="BA20">
        <v>0</v>
      </c>
      <c r="BB20">
        <v>0</v>
      </c>
      <c r="BC20">
        <v>0</v>
      </c>
      <c r="BD20">
        <v>0</v>
      </c>
    </row>
    <row r="21" spans="1:75" s="14" customFormat="1" x14ac:dyDescent="0.25">
      <c r="A21" s="14" t="s">
        <v>1096</v>
      </c>
      <c r="B21" s="14" t="s">
        <v>1097</v>
      </c>
      <c r="C21" s="14" t="s">
        <v>1098</v>
      </c>
      <c r="D21" s="14" t="s">
        <v>1099</v>
      </c>
      <c r="E21" s="14" t="s">
        <v>1100</v>
      </c>
      <c r="F21" s="14" t="s">
        <v>1101</v>
      </c>
      <c r="G21" s="14" t="s">
        <v>229</v>
      </c>
      <c r="H21" s="14" t="s">
        <v>477</v>
      </c>
      <c r="I21" s="14" t="s">
        <v>230</v>
      </c>
      <c r="J21" s="14">
        <v>2016</v>
      </c>
      <c r="K21" s="14">
        <v>2021</v>
      </c>
      <c r="L21" s="14" t="s">
        <v>1102</v>
      </c>
      <c r="M21" s="14" t="s">
        <v>1103</v>
      </c>
      <c r="T21" s="14">
        <v>1</v>
      </c>
      <c r="U21" s="14" t="s">
        <v>224</v>
      </c>
      <c r="V21" s="14" t="s">
        <v>1104</v>
      </c>
      <c r="W21" s="14" t="s">
        <v>1105</v>
      </c>
      <c r="AF21" s="442"/>
      <c r="AG21" s="442"/>
      <c r="AH21" s="442"/>
      <c r="AI21" s="442"/>
      <c r="AJ21" s="442"/>
      <c r="AK21" s="442"/>
      <c r="AL21" s="442"/>
      <c r="AM21" s="442"/>
      <c r="AN21" s="442"/>
      <c r="AO21" s="442"/>
      <c r="AP21" s="442"/>
      <c r="AQ21" s="442"/>
      <c r="AR21" s="442"/>
    </row>
    <row r="22" spans="1:75" x14ac:dyDescent="0.25">
      <c r="A22" t="s">
        <v>532</v>
      </c>
      <c r="B22" t="s">
        <v>473</v>
      </c>
      <c r="C22" t="s">
        <v>535</v>
      </c>
      <c r="D22" t="s">
        <v>1009</v>
      </c>
      <c r="E22" t="s">
        <v>309</v>
      </c>
      <c r="F22" t="s">
        <v>533</v>
      </c>
      <c r="G22" t="s">
        <v>476</v>
      </c>
      <c r="H22" t="s">
        <v>477</v>
      </c>
      <c r="I22" t="s">
        <v>223</v>
      </c>
      <c r="J22">
        <v>2021</v>
      </c>
      <c r="K22">
        <v>2022</v>
      </c>
      <c r="L22" t="s">
        <v>534</v>
      </c>
      <c r="M22" t="s">
        <v>479</v>
      </c>
      <c r="Q22" t="s">
        <v>532</v>
      </c>
      <c r="T22">
        <v>1</v>
      </c>
      <c r="U22" t="s">
        <v>231</v>
      </c>
      <c r="V22" t="s">
        <v>310</v>
      </c>
      <c r="W22" t="s">
        <v>311</v>
      </c>
      <c r="Z22">
        <v>2000</v>
      </c>
      <c r="AE22" t="s">
        <v>225</v>
      </c>
      <c r="AM22" s="441">
        <v>278.60351057461003</v>
      </c>
      <c r="AN22" s="441">
        <v>0</v>
      </c>
      <c r="AO22" s="441">
        <v>278.60351057461003</v>
      </c>
      <c r="AP22" s="441">
        <v>1932.0109685229199</v>
      </c>
      <c r="AQ22" s="441">
        <v>0</v>
      </c>
      <c r="AR22" s="441">
        <v>1932.0109685229199</v>
      </c>
      <c r="AS22">
        <v>6.5493923387855799E-2</v>
      </c>
      <c r="AT22">
        <v>0</v>
      </c>
      <c r="AU22">
        <v>0</v>
      </c>
      <c r="AV22">
        <v>-1.8972807229568101E-4</v>
      </c>
      <c r="AW22">
        <v>4.5742190672719002E-7</v>
      </c>
      <c r="AX22">
        <v>88.047751587822006</v>
      </c>
      <c r="AY22">
        <v>2.9194556043370699E-2</v>
      </c>
      <c r="AZ22">
        <v>0</v>
      </c>
      <c r="BA22">
        <v>0</v>
      </c>
      <c r="BB22">
        <v>0</v>
      </c>
      <c r="BC22">
        <v>0</v>
      </c>
      <c r="BD22">
        <v>0</v>
      </c>
      <c r="BE22">
        <v>0.136505830669615</v>
      </c>
      <c r="BF22">
        <v>302.58299751328502</v>
      </c>
      <c r="BG22">
        <v>0.71682781123051098</v>
      </c>
      <c r="BH22">
        <v>301.71239162653302</v>
      </c>
      <c r="BI22">
        <v>0.15377807552144501</v>
      </c>
      <c r="BL22">
        <v>5.7921943175201503E-2</v>
      </c>
      <c r="BM22">
        <v>5.7921943175201503E-2</v>
      </c>
      <c r="BN22">
        <v>0.60314254959254598</v>
      </c>
      <c r="BS22">
        <v>1.1646647499999999E-12</v>
      </c>
      <c r="BT22">
        <v>0.14845441469999199</v>
      </c>
      <c r="BU22">
        <v>1931.76952689473</v>
      </c>
      <c r="BV22">
        <v>1.9914249280206201E-5</v>
      </c>
      <c r="BW22">
        <v>21.320044315908401</v>
      </c>
    </row>
    <row r="23" spans="1:75" x14ac:dyDescent="0.25">
      <c r="A23" t="s">
        <v>547</v>
      </c>
      <c r="B23" t="s">
        <v>473</v>
      </c>
      <c r="C23" t="s">
        <v>555</v>
      </c>
      <c r="D23" t="s">
        <v>1010</v>
      </c>
      <c r="E23" t="s">
        <v>314</v>
      </c>
      <c r="F23" t="s">
        <v>536</v>
      </c>
      <c r="G23" t="s">
        <v>476</v>
      </c>
      <c r="H23" t="s">
        <v>477</v>
      </c>
      <c r="I23" t="s">
        <v>223</v>
      </c>
      <c r="J23">
        <v>2021</v>
      </c>
      <c r="K23">
        <v>2022</v>
      </c>
      <c r="L23" t="s">
        <v>548</v>
      </c>
      <c r="M23" t="s">
        <v>479</v>
      </c>
      <c r="Q23" t="s">
        <v>547</v>
      </c>
      <c r="T23">
        <v>1</v>
      </c>
      <c r="U23" t="s">
        <v>231</v>
      </c>
      <c r="V23" t="s">
        <v>315</v>
      </c>
      <c r="W23" t="s">
        <v>316</v>
      </c>
      <c r="Z23">
        <v>380</v>
      </c>
      <c r="AE23" t="s">
        <v>225</v>
      </c>
      <c r="AM23" s="441">
        <v>208.77702018800099</v>
      </c>
      <c r="AN23" s="441">
        <v>0</v>
      </c>
      <c r="AO23" s="441">
        <v>208.77702018800099</v>
      </c>
      <c r="AP23" s="441">
        <v>1088.7186499403199</v>
      </c>
      <c r="AQ23" s="441">
        <v>0</v>
      </c>
      <c r="AR23" s="441">
        <v>1088.7186499403199</v>
      </c>
      <c r="AS23">
        <v>0.1021619067542</v>
      </c>
      <c r="AT23">
        <v>0</v>
      </c>
      <c r="AU23">
        <v>0</v>
      </c>
      <c r="AV23">
        <v>0.60554569814389303</v>
      </c>
      <c r="AW23">
        <v>2.1993912293399E-7</v>
      </c>
      <c r="AX23">
        <v>34.000085972519202</v>
      </c>
      <c r="AY23">
        <v>2.6294714075979098E-2</v>
      </c>
      <c r="AZ23">
        <v>0</v>
      </c>
      <c r="BA23">
        <v>0</v>
      </c>
      <c r="BB23">
        <v>0</v>
      </c>
      <c r="BC23">
        <v>0</v>
      </c>
      <c r="BD23">
        <v>0</v>
      </c>
      <c r="BE23">
        <v>0.163500896869755</v>
      </c>
      <c r="BF23">
        <v>187.24489298727201</v>
      </c>
      <c r="BG23">
        <v>0.39526658821481703</v>
      </c>
      <c r="BH23">
        <v>186.755636277755</v>
      </c>
      <c r="BI23">
        <v>9.3990121302632998E-2</v>
      </c>
      <c r="BL23">
        <v>5.2560423555867299E-2</v>
      </c>
      <c r="BM23">
        <v>5.2560423555867299E-2</v>
      </c>
      <c r="BN23">
        <v>0.57249752706870605</v>
      </c>
      <c r="BS23">
        <v>7.9069694000000002E-13</v>
      </c>
      <c r="BT23">
        <v>0.15336748308736001</v>
      </c>
      <c r="BU23">
        <v>1088.4216991329899</v>
      </c>
      <c r="BV23">
        <v>1.3615845280244999E-4</v>
      </c>
      <c r="BW23">
        <v>18.611925649603101</v>
      </c>
    </row>
    <row r="24" spans="1:75" x14ac:dyDescent="0.25">
      <c r="A24" t="s">
        <v>537</v>
      </c>
      <c r="B24" t="s">
        <v>312</v>
      </c>
      <c r="C24" t="s">
        <v>557</v>
      </c>
      <c r="D24" t="s">
        <v>538</v>
      </c>
      <c r="E24" t="s">
        <v>313</v>
      </c>
      <c r="F24" t="s">
        <v>539</v>
      </c>
      <c r="G24" t="s">
        <v>540</v>
      </c>
      <c r="H24" t="s">
        <v>477</v>
      </c>
      <c r="I24" t="s">
        <v>230</v>
      </c>
      <c r="J24">
        <v>2021</v>
      </c>
      <c r="K24">
        <v>2026</v>
      </c>
      <c r="L24" t="s">
        <v>541</v>
      </c>
      <c r="M24" t="s">
        <v>542</v>
      </c>
      <c r="N24" s="132">
        <v>44412</v>
      </c>
      <c r="O24" t="s">
        <v>543</v>
      </c>
      <c r="P24" t="s">
        <v>544</v>
      </c>
      <c r="T24">
        <v>1</v>
      </c>
      <c r="U24" t="s">
        <v>231</v>
      </c>
      <c r="V24" t="s">
        <v>545</v>
      </c>
      <c r="W24" t="s">
        <v>546</v>
      </c>
      <c r="Z24">
        <v>575</v>
      </c>
      <c r="AD24">
        <v>605</v>
      </c>
      <c r="AE24" t="s">
        <v>225</v>
      </c>
      <c r="AM24" s="441">
        <v>243</v>
      </c>
      <c r="AN24" s="441">
        <v>0</v>
      </c>
      <c r="AO24" s="441">
        <v>243</v>
      </c>
      <c r="AP24" s="441">
        <v>1590</v>
      </c>
      <c r="AQ24" s="441">
        <v>1.23</v>
      </c>
      <c r="AR24" s="441">
        <v>1590</v>
      </c>
      <c r="AS24">
        <v>142</v>
      </c>
      <c r="AT24">
        <v>0</v>
      </c>
      <c r="AU24">
        <v>0</v>
      </c>
      <c r="AV24">
        <v>0.20499999999999999</v>
      </c>
      <c r="AW24">
        <v>1.6800000000000001E-3</v>
      </c>
      <c r="AX24">
        <v>7.84</v>
      </c>
      <c r="AY24">
        <v>2.8799999999999999E-2</v>
      </c>
      <c r="AZ24">
        <v>0</v>
      </c>
      <c r="BA24">
        <v>0</v>
      </c>
      <c r="BB24">
        <v>0</v>
      </c>
      <c r="BC24">
        <v>0</v>
      </c>
      <c r="BD24">
        <v>0</v>
      </c>
      <c r="BE24">
        <v>0.27900000000000003</v>
      </c>
      <c r="BF24">
        <v>146</v>
      </c>
      <c r="BG24">
        <v>0.29099999999999998</v>
      </c>
      <c r="BH24">
        <v>145.6</v>
      </c>
      <c r="BI24">
        <v>7.9500000000000001E-2</v>
      </c>
      <c r="BL24">
        <v>4.7300000000000002E-2</v>
      </c>
      <c r="BM24">
        <v>4.7300000000000002E-2</v>
      </c>
      <c r="BN24">
        <v>1</v>
      </c>
      <c r="BS24">
        <v>2.9100000000000002E-11</v>
      </c>
      <c r="BT24">
        <v>0.13500000000000001</v>
      </c>
      <c r="BU24">
        <v>1580</v>
      </c>
      <c r="BV24">
        <v>1.6200000000000001E-5</v>
      </c>
      <c r="BW24">
        <v>4.8899999999999997</v>
      </c>
    </row>
    <row r="25" spans="1:75" x14ac:dyDescent="0.25">
      <c r="A25" t="s">
        <v>549</v>
      </c>
      <c r="B25" t="s">
        <v>259</v>
      </c>
      <c r="C25" t="s">
        <v>556</v>
      </c>
      <c r="D25" t="s">
        <v>550</v>
      </c>
      <c r="E25" t="s">
        <v>313</v>
      </c>
      <c r="F25" t="s">
        <v>539</v>
      </c>
      <c r="G25" t="s">
        <v>540</v>
      </c>
      <c r="H25" t="s">
        <v>477</v>
      </c>
      <c r="I25" t="s">
        <v>230</v>
      </c>
      <c r="J25">
        <v>2021</v>
      </c>
      <c r="K25">
        <v>2026</v>
      </c>
      <c r="L25" t="s">
        <v>551</v>
      </c>
      <c r="M25" t="s">
        <v>542</v>
      </c>
      <c r="N25" s="132">
        <v>44412</v>
      </c>
      <c r="O25" t="s">
        <v>552</v>
      </c>
      <c r="P25" t="s">
        <v>544</v>
      </c>
      <c r="T25">
        <v>1</v>
      </c>
      <c r="U25" t="s">
        <v>231</v>
      </c>
      <c r="V25" t="s">
        <v>553</v>
      </c>
      <c r="W25" t="s">
        <v>554</v>
      </c>
      <c r="Z25">
        <v>575</v>
      </c>
      <c r="AD25">
        <v>575</v>
      </c>
      <c r="AE25" t="s">
        <v>225</v>
      </c>
      <c r="AM25" s="441">
        <v>215</v>
      </c>
      <c r="AN25" s="441">
        <v>0</v>
      </c>
      <c r="AO25" s="441">
        <v>215</v>
      </c>
      <c r="AP25" s="441">
        <v>1180</v>
      </c>
      <c r="AQ25" s="441">
        <v>0</v>
      </c>
      <c r="AR25" s="441">
        <v>1180</v>
      </c>
      <c r="AS25">
        <v>142</v>
      </c>
      <c r="AT25">
        <v>0</v>
      </c>
      <c r="AU25">
        <v>0</v>
      </c>
      <c r="AV25">
        <v>0.17100000000000001</v>
      </c>
      <c r="AW25">
        <v>1.4699999999999999E-6</v>
      </c>
      <c r="AX25">
        <v>1.71</v>
      </c>
      <c r="AY25">
        <v>1.7100000000000001E-2</v>
      </c>
      <c r="AZ25">
        <v>0</v>
      </c>
      <c r="BA25">
        <v>0</v>
      </c>
      <c r="BB25">
        <v>0</v>
      </c>
      <c r="BC25">
        <v>0</v>
      </c>
      <c r="BD25">
        <v>0</v>
      </c>
      <c r="BE25">
        <v>9.2399999999999996E-2</v>
      </c>
      <c r="BF25">
        <v>113</v>
      </c>
      <c r="BG25">
        <v>0.18</v>
      </c>
      <c r="BH25">
        <v>112.8</v>
      </c>
      <c r="BI25">
        <v>5.1799999999999999E-2</v>
      </c>
      <c r="BL25">
        <v>2.69E-2</v>
      </c>
      <c r="BM25">
        <v>2.69E-2</v>
      </c>
      <c r="BN25">
        <v>0.34100000000000003</v>
      </c>
      <c r="BS25">
        <v>4.9100000000000003E-13</v>
      </c>
      <c r="BT25">
        <v>7.6499999999999999E-2</v>
      </c>
      <c r="BU25">
        <v>1150</v>
      </c>
      <c r="BV25">
        <v>9.9000000000000001E-6</v>
      </c>
      <c r="BW25">
        <v>2.37</v>
      </c>
    </row>
    <row r="26" spans="1:75" x14ac:dyDescent="0.25">
      <c r="A26" t="s">
        <v>319</v>
      </c>
      <c r="B26" t="s">
        <v>240</v>
      </c>
      <c r="C26" t="s">
        <v>320</v>
      </c>
      <c r="D26" t="s">
        <v>993</v>
      </c>
      <c r="E26" t="s">
        <v>321</v>
      </c>
      <c r="G26" t="s">
        <v>222</v>
      </c>
      <c r="I26" t="s">
        <v>223</v>
      </c>
      <c r="T26">
        <v>1</v>
      </c>
      <c r="U26" t="s">
        <v>231</v>
      </c>
      <c r="V26" t="s">
        <v>322</v>
      </c>
      <c r="W26" t="s">
        <v>323</v>
      </c>
      <c r="Z26">
        <v>1200</v>
      </c>
      <c r="AE26" t="s">
        <v>225</v>
      </c>
      <c r="AF26" s="441">
        <v>93.640500000000003</v>
      </c>
      <c r="AG26" s="441">
        <v>4.2242699999999998E-13</v>
      </c>
      <c r="AH26" s="441">
        <v>7.4119900000000002E-3</v>
      </c>
      <c r="AI26" s="441">
        <v>5.5740999999999999E-2</v>
      </c>
      <c r="AJ26" s="441">
        <v>9.5879899999999994E-3</v>
      </c>
      <c r="AK26" s="441">
        <v>8.9962099999999994E-6</v>
      </c>
      <c r="AL26" s="441">
        <v>1522.56</v>
      </c>
      <c r="AM26" s="441">
        <v>78.192999999999998</v>
      </c>
      <c r="AN26" s="441">
        <v>0</v>
      </c>
      <c r="AO26" s="441">
        <v>78.192999999999998</v>
      </c>
      <c r="AP26" s="441">
        <v>1546.14</v>
      </c>
      <c r="AQ26" s="441">
        <v>0</v>
      </c>
      <c r="AR26" s="441">
        <v>1546.14</v>
      </c>
      <c r="AS26">
        <v>0</v>
      </c>
      <c r="AT26">
        <v>0</v>
      </c>
      <c r="AU26">
        <v>0</v>
      </c>
      <c r="AV26">
        <v>0.42931200000000003</v>
      </c>
      <c r="AW26">
        <v>8.1606399999999997E-7</v>
      </c>
      <c r="AX26">
        <v>0.43083100000000002</v>
      </c>
      <c r="AY26">
        <v>9.3369200000000003E-3</v>
      </c>
      <c r="AZ26">
        <v>0</v>
      </c>
      <c r="BA26">
        <v>0</v>
      </c>
      <c r="BB26">
        <v>0</v>
      </c>
      <c r="BC26">
        <v>0</v>
      </c>
      <c r="BD26">
        <v>0</v>
      </c>
    </row>
    <row r="27" spans="1:75" x14ac:dyDescent="0.25">
      <c r="A27" t="s">
        <v>324</v>
      </c>
      <c r="B27" t="s">
        <v>312</v>
      </c>
      <c r="C27" t="s">
        <v>325</v>
      </c>
      <c r="D27" t="s">
        <v>992</v>
      </c>
      <c r="E27" t="s">
        <v>318</v>
      </c>
      <c r="G27" t="s">
        <v>229</v>
      </c>
      <c r="I27" t="s">
        <v>230</v>
      </c>
      <c r="T27">
        <v>1</v>
      </c>
      <c r="U27" t="s">
        <v>231</v>
      </c>
      <c r="V27" t="s">
        <v>326</v>
      </c>
      <c r="W27" t="s">
        <v>327</v>
      </c>
      <c r="Z27">
        <v>2400</v>
      </c>
      <c r="AD27">
        <v>4.1200000000000004E-3</v>
      </c>
      <c r="AE27" t="s">
        <v>225</v>
      </c>
      <c r="AF27" s="441">
        <v>244</v>
      </c>
      <c r="AG27" s="441">
        <v>6.8099999999999994E-8</v>
      </c>
      <c r="AH27" s="441">
        <v>2.98E-2</v>
      </c>
      <c r="AI27" s="441">
        <v>0.34799999999999998</v>
      </c>
      <c r="AJ27" s="441">
        <v>6.5500000000000003E-2</v>
      </c>
      <c r="AK27" s="441">
        <v>8.2200000000000003E-4</v>
      </c>
      <c r="AL27" s="441">
        <v>1080</v>
      </c>
      <c r="AM27" s="441">
        <v>229</v>
      </c>
      <c r="AN27" s="441">
        <v>0</v>
      </c>
      <c r="AO27" s="441">
        <v>229</v>
      </c>
      <c r="AP27" s="441">
        <v>1200</v>
      </c>
      <c r="AQ27" s="441">
        <v>0</v>
      </c>
      <c r="AR27" s="441">
        <v>1200</v>
      </c>
      <c r="AS27">
        <v>21</v>
      </c>
      <c r="AT27">
        <v>233</v>
      </c>
      <c r="AU27">
        <v>443</v>
      </c>
      <c r="AV27">
        <v>0.8</v>
      </c>
      <c r="AW27">
        <v>3.3599999999999998E-4</v>
      </c>
      <c r="AX27">
        <v>41.8</v>
      </c>
      <c r="AY27">
        <v>4.7E-2</v>
      </c>
      <c r="AZ27">
        <v>0</v>
      </c>
      <c r="BA27">
        <v>0</v>
      </c>
      <c r="BB27">
        <v>0</v>
      </c>
      <c r="BC27">
        <v>0</v>
      </c>
      <c r="BD27">
        <v>0</v>
      </c>
    </row>
    <row r="28" spans="1:75" x14ac:dyDescent="0.25">
      <c r="A28" t="s">
        <v>328</v>
      </c>
      <c r="B28" t="s">
        <v>240</v>
      </c>
      <c r="C28" t="s">
        <v>329</v>
      </c>
      <c r="D28" t="s">
        <v>991</v>
      </c>
      <c r="E28" t="s">
        <v>330</v>
      </c>
      <c r="G28" t="s">
        <v>222</v>
      </c>
      <c r="I28" t="s">
        <v>223</v>
      </c>
      <c r="T28">
        <v>1</v>
      </c>
      <c r="U28" t="s">
        <v>183</v>
      </c>
      <c r="V28" t="s">
        <v>331</v>
      </c>
      <c r="W28" t="s">
        <v>332</v>
      </c>
      <c r="Z28">
        <v>7850</v>
      </c>
      <c r="AE28" t="s">
        <v>225</v>
      </c>
      <c r="AF28" s="441">
        <v>0.68335500000000005</v>
      </c>
      <c r="AG28" s="441">
        <v>2.0852700000000001E-14</v>
      </c>
      <c r="AH28" s="441">
        <v>2.6600199999999999E-4</v>
      </c>
      <c r="AI28" s="441">
        <v>1.2824799999999999E-3</v>
      </c>
      <c r="AJ28" s="441">
        <v>1.7437600000000001E-4</v>
      </c>
      <c r="AK28" s="441">
        <v>2.3020999999999999E-7</v>
      </c>
      <c r="AL28" s="441">
        <v>7.6274800000000003</v>
      </c>
      <c r="AM28" s="441">
        <v>3.7884899999999999</v>
      </c>
      <c r="AN28" s="441">
        <v>0</v>
      </c>
      <c r="AO28" s="441">
        <v>3.7884899999999999</v>
      </c>
      <c r="AP28" s="441">
        <v>8.7991100000000007</v>
      </c>
      <c r="AQ28" s="441">
        <v>0</v>
      </c>
      <c r="AR28" s="441">
        <v>8.7991100000000007</v>
      </c>
      <c r="AS28">
        <v>1.2667200000000001</v>
      </c>
      <c r="AT28">
        <v>0</v>
      </c>
      <c r="AU28">
        <v>0</v>
      </c>
      <c r="AV28">
        <v>3.4740700000000001E-3</v>
      </c>
      <c r="AW28">
        <v>9.1715100000000003E-9</v>
      </c>
      <c r="AX28">
        <v>1.0657700000000001E-2</v>
      </c>
      <c r="AY28">
        <v>4.63862E-4</v>
      </c>
      <c r="AZ28">
        <v>0</v>
      </c>
      <c r="BA28">
        <v>0</v>
      </c>
      <c r="BB28">
        <v>0</v>
      </c>
      <c r="BC28">
        <v>0</v>
      </c>
      <c r="BD28">
        <v>0</v>
      </c>
    </row>
    <row r="29" spans="1:75" x14ac:dyDescent="0.25">
      <c r="A29" t="str">
        <f>C29</f>
        <v>EIGEN_Stahlbeton, 100kg Stahl</v>
      </c>
      <c r="B29" s="132">
        <v>44157</v>
      </c>
      <c r="C29" t="s">
        <v>333</v>
      </c>
      <c r="D29" t="s">
        <v>990</v>
      </c>
      <c r="E29" t="s">
        <v>318</v>
      </c>
      <c r="T29">
        <v>1</v>
      </c>
      <c r="U29" t="s">
        <v>231</v>
      </c>
      <c r="W29" t="s">
        <v>1017</v>
      </c>
      <c r="Z29" s="113">
        <f>100+(1-100/$Z$28)*$Z$27</f>
        <v>2469.4267515923566</v>
      </c>
      <c r="AE29" t="s">
        <v>225</v>
      </c>
      <c r="AF29" s="444">
        <f>AF27*(1-100/$Z$28)+AF28*100</f>
        <v>309.22721974522295</v>
      </c>
      <c r="AG29" s="444">
        <f t="shared" ref="AG29:BD29" si="2">AG27*(1-100/$Z$28)+AG28*100</f>
        <v>6.7234569346433118E-8</v>
      </c>
      <c r="AH29" s="444">
        <f t="shared" si="2"/>
        <v>5.6020582165605091E-2</v>
      </c>
      <c r="AI29" s="444">
        <f t="shared" si="2"/>
        <v>0.47181487898089169</v>
      </c>
      <c r="AJ29" s="444">
        <f>AL27*(1-100/$Z$28)+AL28*100</f>
        <v>1828.9900382165606</v>
      </c>
      <c r="AK29" s="444">
        <f t="shared" si="2"/>
        <v>8.3454966242038219E-4</v>
      </c>
      <c r="AL29" s="444">
        <f t="shared" si="2"/>
        <v>1828.9900382165606</v>
      </c>
      <c r="AM29" s="444">
        <f t="shared" si="2"/>
        <v>604.93180254777076</v>
      </c>
      <c r="AN29" s="444">
        <f t="shared" si="2"/>
        <v>0</v>
      </c>
      <c r="AO29" s="444">
        <f t="shared" si="2"/>
        <v>604.93180254777076</v>
      </c>
      <c r="AP29" s="444">
        <f t="shared" si="2"/>
        <v>2064.6243757961784</v>
      </c>
      <c r="AQ29" s="444">
        <f t="shared" si="2"/>
        <v>0</v>
      </c>
      <c r="AR29" s="444">
        <f t="shared" si="2"/>
        <v>2064.6243757961784</v>
      </c>
      <c r="AS29" s="112">
        <f t="shared" si="2"/>
        <v>147.40448407643314</v>
      </c>
      <c r="AT29" s="112">
        <f t="shared" si="2"/>
        <v>230.03184713375796</v>
      </c>
      <c r="AU29" s="112">
        <f t="shared" si="2"/>
        <v>437.35668789808915</v>
      </c>
      <c r="AV29" s="112">
        <f t="shared" si="2"/>
        <v>1.1372159171974523</v>
      </c>
      <c r="AW29" s="112">
        <f t="shared" si="2"/>
        <v>3.3263689622292994E-4</v>
      </c>
      <c r="AX29" s="112">
        <f t="shared" si="2"/>
        <v>42.333285923566876</v>
      </c>
      <c r="AY29" s="112">
        <f t="shared" si="2"/>
        <v>9.278747388535033E-2</v>
      </c>
      <c r="AZ29" s="112">
        <f t="shared" si="2"/>
        <v>0</v>
      </c>
      <c r="BA29" s="112">
        <f t="shared" si="2"/>
        <v>0</v>
      </c>
      <c r="BB29" s="112">
        <f t="shared" si="2"/>
        <v>0</v>
      </c>
      <c r="BC29" s="112">
        <f t="shared" si="2"/>
        <v>0</v>
      </c>
      <c r="BD29" s="112">
        <f t="shared" si="2"/>
        <v>0</v>
      </c>
      <c r="BE29" s="112"/>
      <c r="BF29" s="112"/>
      <c r="BG29" s="112"/>
      <c r="BH29" s="112"/>
      <c r="BI29" s="112"/>
      <c r="BJ29" s="112"/>
      <c r="BK29" s="112"/>
      <c r="BL29" s="112"/>
      <c r="BM29" s="112"/>
      <c r="BN29" s="112"/>
      <c r="BO29" s="112"/>
      <c r="BP29" s="112"/>
      <c r="BQ29" s="112"/>
      <c r="BR29" s="112"/>
      <c r="BS29" s="112"/>
      <c r="BT29" s="112"/>
      <c r="BU29" s="112"/>
      <c r="BV29" s="112"/>
      <c r="BW29" s="112"/>
    </row>
    <row r="30" spans="1:75" x14ac:dyDescent="0.25">
      <c r="A30" t="s">
        <v>944</v>
      </c>
      <c r="B30" t="s">
        <v>685</v>
      </c>
      <c r="C30" t="s">
        <v>945</v>
      </c>
      <c r="D30" t="s">
        <v>946</v>
      </c>
      <c r="E30" t="s">
        <v>337</v>
      </c>
      <c r="F30" t="s">
        <v>947</v>
      </c>
      <c r="G30" t="s">
        <v>540</v>
      </c>
      <c r="H30" t="s">
        <v>477</v>
      </c>
      <c r="I30" t="s">
        <v>230</v>
      </c>
      <c r="J30">
        <v>2021</v>
      </c>
      <c r="K30">
        <v>2026</v>
      </c>
      <c r="L30" t="s">
        <v>948</v>
      </c>
      <c r="M30" t="s">
        <v>542</v>
      </c>
      <c r="N30">
        <v>44515</v>
      </c>
      <c r="O30" t="s">
        <v>949</v>
      </c>
      <c r="P30" t="s">
        <v>544</v>
      </c>
      <c r="T30">
        <v>1</v>
      </c>
      <c r="U30" t="s">
        <v>224</v>
      </c>
      <c r="V30" t="s">
        <v>950</v>
      </c>
      <c r="W30" t="s">
        <v>945</v>
      </c>
      <c r="Y30">
        <v>40</v>
      </c>
      <c r="Z30">
        <v>2020</v>
      </c>
      <c r="AA30">
        <v>1.4999999999999999E-2</v>
      </c>
      <c r="AD30">
        <v>40</v>
      </c>
      <c r="AE30" t="s">
        <v>225</v>
      </c>
      <c r="AM30" s="441">
        <v>35.549999999999997</v>
      </c>
      <c r="AN30" s="441">
        <v>1.4</v>
      </c>
      <c r="AO30" s="441">
        <v>36.950000000000003</v>
      </c>
      <c r="AP30" s="441">
        <v>195.66</v>
      </c>
      <c r="AQ30" s="441">
        <v>0.88</v>
      </c>
      <c r="AR30" s="441">
        <v>196.54</v>
      </c>
      <c r="AS30">
        <v>0.32</v>
      </c>
      <c r="AT30">
        <v>0</v>
      </c>
      <c r="AU30">
        <v>0</v>
      </c>
      <c r="AV30">
        <v>2.1600000000000001E-2</v>
      </c>
      <c r="AW30">
        <v>3.3640000000000002E-7</v>
      </c>
      <c r="AX30">
        <v>0.11135299999999999</v>
      </c>
      <c r="AY30">
        <v>3.0521799999999998E-3</v>
      </c>
      <c r="AZ30">
        <v>0</v>
      </c>
      <c r="BA30">
        <v>0</v>
      </c>
      <c r="BB30">
        <v>0</v>
      </c>
      <c r="BC30">
        <v>0</v>
      </c>
      <c r="BD30">
        <v>0</v>
      </c>
      <c r="BE30">
        <v>1.2782999999999999E-2</v>
      </c>
      <c r="BF30">
        <v>12.329000000000001</v>
      </c>
      <c r="BG30">
        <v>-0.10777829999999999</v>
      </c>
      <c r="BH30">
        <v>12.427</v>
      </c>
      <c r="BI30">
        <v>8.0339999999999995E-3</v>
      </c>
      <c r="BL30">
        <v>4.5880000000000001E-3</v>
      </c>
      <c r="BM30">
        <v>4.5880000000000001E-3</v>
      </c>
      <c r="BN30">
        <v>4.9360000000000001E-2</v>
      </c>
      <c r="BS30">
        <v>1.0602433E-12</v>
      </c>
      <c r="BT30">
        <v>1.2964E-2</v>
      </c>
      <c r="BU30">
        <v>195.66</v>
      </c>
      <c r="BV30">
        <v>1.78601E-6</v>
      </c>
      <c r="BW30">
        <v>0.43239</v>
      </c>
    </row>
    <row r="31" spans="1:75" x14ac:dyDescent="0.25">
      <c r="A31" t="s">
        <v>932</v>
      </c>
      <c r="B31" t="s">
        <v>473</v>
      </c>
      <c r="C31" t="s">
        <v>933</v>
      </c>
      <c r="D31" t="s">
        <v>934</v>
      </c>
      <c r="E31" t="s">
        <v>935</v>
      </c>
      <c r="F31" t="s">
        <v>936</v>
      </c>
      <c r="G31" t="s">
        <v>476</v>
      </c>
      <c r="H31" t="s">
        <v>477</v>
      </c>
      <c r="I31" t="s">
        <v>223</v>
      </c>
      <c r="J31">
        <v>2021</v>
      </c>
      <c r="K31">
        <v>2022</v>
      </c>
      <c r="L31" t="s">
        <v>937</v>
      </c>
      <c r="M31" t="s">
        <v>479</v>
      </c>
      <c r="Q31" t="s">
        <v>932</v>
      </c>
      <c r="T31">
        <v>1</v>
      </c>
      <c r="U31" t="s">
        <v>183</v>
      </c>
      <c r="V31" t="s">
        <v>938</v>
      </c>
      <c r="W31" t="s">
        <v>933</v>
      </c>
      <c r="Z31">
        <v>2400</v>
      </c>
      <c r="AE31" t="s">
        <v>225</v>
      </c>
      <c r="AM31" s="441">
        <v>0.29784759625951301</v>
      </c>
      <c r="AN31" s="441">
        <v>0</v>
      </c>
      <c r="AO31" s="441">
        <v>0.29784759625951301</v>
      </c>
      <c r="AP31" s="441">
        <v>1.1671367704751601</v>
      </c>
      <c r="AQ31" s="441">
        <v>0</v>
      </c>
      <c r="AR31" s="441">
        <v>1.1671367704751601</v>
      </c>
      <c r="AS31">
        <v>0</v>
      </c>
      <c r="AT31">
        <v>0</v>
      </c>
      <c r="AU31">
        <v>0</v>
      </c>
      <c r="AV31">
        <v>2.1972761014947301E-4</v>
      </c>
      <c r="AW31">
        <v>5.9694394047512005E-7</v>
      </c>
      <c r="AX31">
        <v>3.1543552340002501E-2</v>
      </c>
      <c r="AY31">
        <v>3.92534908301475E-5</v>
      </c>
      <c r="AZ31">
        <v>0</v>
      </c>
      <c r="BA31">
        <v>0</v>
      </c>
      <c r="BB31">
        <v>0</v>
      </c>
      <c r="BC31">
        <v>0</v>
      </c>
      <c r="BD31">
        <v>0</v>
      </c>
      <c r="BE31">
        <v>1.9544317838500599E-4</v>
      </c>
      <c r="BF31">
        <v>0.18231755974316199</v>
      </c>
      <c r="BG31">
        <v>7.7897007676912104E-4</v>
      </c>
      <c r="BH31">
        <v>0.181435536461865</v>
      </c>
      <c r="BI31">
        <v>1.0305320452769899E-4</v>
      </c>
      <c r="BL31">
        <v>7.1099614692041806E-5</v>
      </c>
      <c r="BM31">
        <v>7.1099614692041806E-5</v>
      </c>
      <c r="BN31">
        <v>7.6926313421048101E-4</v>
      </c>
      <c r="BS31">
        <v>3.2137889999999997E-14</v>
      </c>
      <c r="BT31">
        <v>1.9425400971013801E-4</v>
      </c>
      <c r="BU31">
        <v>1.1669603813150899</v>
      </c>
      <c r="BV31">
        <v>1.6832948353909999E-8</v>
      </c>
      <c r="BW31">
        <v>4.4521475922718497E-3</v>
      </c>
    </row>
    <row r="33" spans="1:76" x14ac:dyDescent="0.25">
      <c r="A33" t="s">
        <v>234</v>
      </c>
      <c r="B33" t="s">
        <v>235</v>
      </c>
      <c r="C33" t="s">
        <v>236</v>
      </c>
      <c r="D33" t="s">
        <v>994</v>
      </c>
      <c r="E33" t="s">
        <v>237</v>
      </c>
      <c r="G33" t="s">
        <v>222</v>
      </c>
      <c r="I33" t="s">
        <v>223</v>
      </c>
      <c r="T33">
        <v>1</v>
      </c>
      <c r="U33" t="s">
        <v>224</v>
      </c>
      <c r="V33" t="s">
        <v>238</v>
      </c>
      <c r="W33" t="s">
        <v>239</v>
      </c>
      <c r="Y33">
        <v>10</v>
      </c>
      <c r="AE33" t="s">
        <v>225</v>
      </c>
      <c r="AF33" s="441">
        <v>3.1861199999999998</v>
      </c>
      <c r="AG33" s="441">
        <v>2.8386199999999999E-14</v>
      </c>
      <c r="AH33" s="441">
        <v>2.53391E-4</v>
      </c>
      <c r="AI33" s="441">
        <v>2.7311800000000002E-3</v>
      </c>
      <c r="AJ33" s="441">
        <v>6.9825099999999999E-4</v>
      </c>
      <c r="AK33" s="441">
        <v>4.0939900000000003E-7</v>
      </c>
      <c r="AL33" s="441">
        <v>47.428400000000003</v>
      </c>
      <c r="AM33" s="441">
        <v>2.7156099999999999</v>
      </c>
      <c r="AN33" s="441">
        <v>16.5</v>
      </c>
      <c r="AO33" s="441">
        <v>19.215599999999998</v>
      </c>
      <c r="AP33" s="441">
        <v>49.009399999999999</v>
      </c>
      <c r="AQ33" s="441">
        <v>0</v>
      </c>
      <c r="AR33" s="441">
        <v>49.009399999999999</v>
      </c>
      <c r="AS33">
        <v>0.93500000000000005</v>
      </c>
      <c r="AT33">
        <v>0</v>
      </c>
      <c r="AU33">
        <v>0</v>
      </c>
      <c r="AV33">
        <v>7.1681100000000001E-3</v>
      </c>
      <c r="AW33">
        <v>3.3827899999999998E-8</v>
      </c>
      <c r="AX33">
        <v>0.36189399999999999</v>
      </c>
      <c r="AY33">
        <v>6.2618199999999998E-4</v>
      </c>
      <c r="AZ33">
        <v>0</v>
      </c>
      <c r="BA33">
        <v>0</v>
      </c>
      <c r="BB33">
        <v>0</v>
      </c>
      <c r="BC33">
        <v>0</v>
      </c>
      <c r="BD33">
        <v>0</v>
      </c>
    </row>
    <row r="34" spans="1:76" x14ac:dyDescent="0.25">
      <c r="A34" t="s">
        <v>516</v>
      </c>
      <c r="B34" t="s">
        <v>473</v>
      </c>
      <c r="C34" t="s">
        <v>526</v>
      </c>
      <c r="D34" t="s">
        <v>517</v>
      </c>
      <c r="E34" t="s">
        <v>237</v>
      </c>
      <c r="F34" t="s">
        <v>518</v>
      </c>
      <c r="G34" t="s">
        <v>476</v>
      </c>
      <c r="H34" t="s">
        <v>477</v>
      </c>
      <c r="I34" t="s">
        <v>223</v>
      </c>
      <c r="J34">
        <v>2021</v>
      </c>
      <c r="K34">
        <v>2022</v>
      </c>
      <c r="L34" t="s">
        <v>519</v>
      </c>
      <c r="M34" t="s">
        <v>479</v>
      </c>
      <c r="Q34" t="s">
        <v>516</v>
      </c>
      <c r="T34">
        <v>1</v>
      </c>
      <c r="U34" t="s">
        <v>224</v>
      </c>
      <c r="V34" t="s">
        <v>520</v>
      </c>
      <c r="W34" t="s">
        <v>521</v>
      </c>
      <c r="Y34">
        <v>10</v>
      </c>
      <c r="AE34" t="s">
        <v>225</v>
      </c>
      <c r="AM34" s="441">
        <v>11.0571620296781</v>
      </c>
      <c r="AN34" s="441">
        <v>0</v>
      </c>
      <c r="AO34" s="441">
        <v>11.0571620296781</v>
      </c>
      <c r="AP34" s="441">
        <v>37.131708949639197</v>
      </c>
      <c r="AQ34" s="441">
        <v>0</v>
      </c>
      <c r="AR34" s="441">
        <v>37.131708949639197</v>
      </c>
      <c r="AS34">
        <v>0</v>
      </c>
      <c r="AT34">
        <v>0</v>
      </c>
      <c r="AU34">
        <v>0</v>
      </c>
      <c r="AV34">
        <v>9.3514413683780905E-3</v>
      </c>
      <c r="AW34">
        <v>1.079048723264E-8</v>
      </c>
      <c r="AX34">
        <v>0.59459040147188302</v>
      </c>
      <c r="AY34">
        <v>3.8784515172743498E-4</v>
      </c>
      <c r="AZ34">
        <v>0</v>
      </c>
      <c r="BA34">
        <v>0</v>
      </c>
      <c r="BB34">
        <v>0</v>
      </c>
      <c r="BC34">
        <v>0</v>
      </c>
      <c r="BD34">
        <v>0</v>
      </c>
      <c r="BE34">
        <v>3.4748016115279702E-3</v>
      </c>
      <c r="BF34">
        <v>1.7365384647166899</v>
      </c>
      <c r="BG34">
        <v>-0.59179356516809101</v>
      </c>
      <c r="BH34">
        <v>2.32665886229021</v>
      </c>
      <c r="BI34">
        <v>1.6731675945696599E-3</v>
      </c>
      <c r="BL34">
        <v>1.1318432338169599E-3</v>
      </c>
      <c r="BM34">
        <v>1.1318432338169599E-3</v>
      </c>
      <c r="BN34">
        <v>1.2165561329930401E-2</v>
      </c>
      <c r="BS34">
        <v>1.391274E-14</v>
      </c>
      <c r="BT34">
        <v>2.9004182034891302E-3</v>
      </c>
      <c r="BU34">
        <v>37.125383540601597</v>
      </c>
      <c r="BV34">
        <v>2.2043235191230799E-6</v>
      </c>
      <c r="BW34">
        <v>0.40019235849681001</v>
      </c>
    </row>
    <row r="35" spans="1:76" x14ac:dyDescent="0.25">
      <c r="A35" t="s">
        <v>768</v>
      </c>
      <c r="B35" t="s">
        <v>473</v>
      </c>
      <c r="C35" t="s">
        <v>769</v>
      </c>
      <c r="D35" t="s">
        <v>770</v>
      </c>
      <c r="E35" t="s">
        <v>308</v>
      </c>
      <c r="F35" t="s">
        <v>771</v>
      </c>
      <c r="G35" t="s">
        <v>476</v>
      </c>
      <c r="H35" t="s">
        <v>477</v>
      </c>
      <c r="I35" t="s">
        <v>223</v>
      </c>
      <c r="J35">
        <v>2021</v>
      </c>
      <c r="K35">
        <v>2022</v>
      </c>
      <c r="L35" t="s">
        <v>772</v>
      </c>
      <c r="M35" t="s">
        <v>479</v>
      </c>
      <c r="Q35" t="s">
        <v>768</v>
      </c>
      <c r="T35">
        <v>1</v>
      </c>
      <c r="U35" t="s">
        <v>183</v>
      </c>
      <c r="V35" t="s">
        <v>773</v>
      </c>
      <c r="W35" t="s">
        <v>774</v>
      </c>
      <c r="Z35">
        <v>1000</v>
      </c>
      <c r="AE35" t="s">
        <v>225</v>
      </c>
      <c r="AM35" s="441">
        <v>0.17062023464279399</v>
      </c>
      <c r="AN35" s="441">
        <v>0</v>
      </c>
      <c r="AO35" s="441">
        <v>0.17062023464279399</v>
      </c>
      <c r="AP35" s="441">
        <v>1.6158153685965999</v>
      </c>
      <c r="AQ35" s="441">
        <v>0</v>
      </c>
      <c r="AR35" s="441">
        <v>1.6158153685965999</v>
      </c>
      <c r="AS35">
        <v>0</v>
      </c>
      <c r="AT35">
        <v>0</v>
      </c>
      <c r="AU35">
        <v>0</v>
      </c>
      <c r="AV35">
        <v>1.55329729465249E-4</v>
      </c>
      <c r="AW35">
        <v>3.8747514496E-10</v>
      </c>
      <c r="AX35">
        <v>7.2875134184857205E-4</v>
      </c>
      <c r="AY35">
        <v>1.8439351136638501E-5</v>
      </c>
      <c r="AZ35">
        <v>0</v>
      </c>
      <c r="BA35">
        <v>0</v>
      </c>
      <c r="BB35">
        <v>0</v>
      </c>
      <c r="BC35">
        <v>0</v>
      </c>
      <c r="BD35">
        <v>0</v>
      </c>
      <c r="BE35">
        <v>9.9844475088397498E-5</v>
      </c>
      <c r="BF35">
        <v>0.10394883076360401</v>
      </c>
      <c r="BG35">
        <v>4.45057585255419E-4</v>
      </c>
      <c r="BH35">
        <v>0.10344854591055699</v>
      </c>
      <c r="BI35">
        <v>5.5227267791262098E-5</v>
      </c>
      <c r="BL35">
        <v>3.9779688756407403E-5</v>
      </c>
      <c r="BM35">
        <v>3.9779688756407403E-5</v>
      </c>
      <c r="BN35">
        <v>4.3633406290939202E-4</v>
      </c>
      <c r="BS35">
        <v>7.3627000000000003E-16</v>
      </c>
      <c r="BT35">
        <v>1.12572790730831E-4</v>
      </c>
      <c r="BU35">
        <v>1.6157231696857399</v>
      </c>
      <c r="BV35">
        <v>1.415221887439E-8</v>
      </c>
      <c r="BW35">
        <v>3.9563853815975398E-3</v>
      </c>
    </row>
    <row r="36" spans="1:76" x14ac:dyDescent="0.25">
      <c r="A36" t="s">
        <v>528</v>
      </c>
      <c r="B36" t="s">
        <v>473</v>
      </c>
      <c r="C36" t="s">
        <v>531</v>
      </c>
      <c r="D36" t="s">
        <v>529</v>
      </c>
      <c r="E36" t="s">
        <v>299</v>
      </c>
      <c r="F36" t="s">
        <v>524</v>
      </c>
      <c r="G36" t="s">
        <v>476</v>
      </c>
      <c r="H36" t="s">
        <v>477</v>
      </c>
      <c r="I36" t="s">
        <v>223</v>
      </c>
      <c r="J36">
        <v>2021</v>
      </c>
      <c r="K36">
        <v>2022</v>
      </c>
      <c r="L36" t="s">
        <v>530</v>
      </c>
      <c r="M36" t="s">
        <v>479</v>
      </c>
      <c r="Q36" t="s">
        <v>528</v>
      </c>
      <c r="T36">
        <v>1</v>
      </c>
      <c r="U36" t="s">
        <v>231</v>
      </c>
      <c r="V36" t="s">
        <v>300</v>
      </c>
      <c r="W36" t="s">
        <v>301</v>
      </c>
      <c r="Z36">
        <v>900</v>
      </c>
      <c r="AE36" t="s">
        <v>225</v>
      </c>
      <c r="AM36" s="441">
        <v>383.541536245847</v>
      </c>
      <c r="AN36" s="441">
        <v>0</v>
      </c>
      <c r="AO36" s="441">
        <v>383.541536245847</v>
      </c>
      <c r="AP36" s="441">
        <v>1832.7041619065101</v>
      </c>
      <c r="AQ36" s="441">
        <v>0</v>
      </c>
      <c r="AR36" s="441">
        <v>1832.7041619065101</v>
      </c>
      <c r="AS36">
        <v>0</v>
      </c>
      <c r="AT36">
        <v>0</v>
      </c>
      <c r="AU36">
        <v>0</v>
      </c>
      <c r="AV36">
        <v>0.23517101863099499</v>
      </c>
      <c r="AW36">
        <v>4.4931577538328E-7</v>
      </c>
      <c r="AX36">
        <v>0.95046579961893096</v>
      </c>
      <c r="AY36">
        <v>3.5929466556204097E-2</v>
      </c>
      <c r="AZ36">
        <v>0</v>
      </c>
      <c r="BA36">
        <v>0</v>
      </c>
      <c r="BB36">
        <v>0</v>
      </c>
      <c r="BC36">
        <v>0</v>
      </c>
      <c r="BD36">
        <v>0</v>
      </c>
      <c r="BE36">
        <v>0.13834575188510401</v>
      </c>
      <c r="BF36">
        <v>118.443629056085</v>
      </c>
      <c r="BG36">
        <v>-1.00878661704465</v>
      </c>
      <c r="BH36">
        <v>119.348422632894</v>
      </c>
      <c r="BI36">
        <v>0.103993040235257</v>
      </c>
      <c r="BL36">
        <v>5.2207313030630399E-2</v>
      </c>
      <c r="BM36">
        <v>5.2207313030630399E-2</v>
      </c>
      <c r="BN36">
        <v>0.56785642009217197</v>
      </c>
      <c r="BS36">
        <v>1.4212602999999999E-12</v>
      </c>
      <c r="BT36">
        <v>0.14853519672424101</v>
      </c>
      <c r="BU36">
        <v>1832.54273779555</v>
      </c>
      <c r="BV36">
        <v>2.2200801910768899E-5</v>
      </c>
      <c r="BW36">
        <v>6.1458731909071203</v>
      </c>
    </row>
    <row r="37" spans="1:76" x14ac:dyDescent="0.25">
      <c r="A37" t="s">
        <v>522</v>
      </c>
      <c r="B37" t="s">
        <v>473</v>
      </c>
      <c r="C37" t="s">
        <v>527</v>
      </c>
      <c r="D37" t="s">
        <v>523</v>
      </c>
      <c r="E37" t="s">
        <v>299</v>
      </c>
      <c r="F37" t="s">
        <v>524</v>
      </c>
      <c r="G37" t="s">
        <v>476</v>
      </c>
      <c r="H37" t="s">
        <v>477</v>
      </c>
      <c r="I37" t="s">
        <v>223</v>
      </c>
      <c r="J37">
        <v>2021</v>
      </c>
      <c r="K37">
        <v>2022</v>
      </c>
      <c r="L37" t="s">
        <v>525</v>
      </c>
      <c r="M37" t="s">
        <v>479</v>
      </c>
      <c r="Q37" t="s">
        <v>522</v>
      </c>
      <c r="T37">
        <v>1</v>
      </c>
      <c r="U37" t="s">
        <v>231</v>
      </c>
      <c r="V37" t="s">
        <v>302</v>
      </c>
      <c r="W37" t="s">
        <v>303</v>
      </c>
      <c r="Z37">
        <v>1800</v>
      </c>
      <c r="AE37" t="s">
        <v>225</v>
      </c>
      <c r="AM37" s="441">
        <v>1178.9856695896101</v>
      </c>
      <c r="AN37" s="441">
        <v>0</v>
      </c>
      <c r="AO37" s="441">
        <v>1178.9856695896101</v>
      </c>
      <c r="AP37" s="441">
        <v>2079.8079889270398</v>
      </c>
      <c r="AQ37" s="441">
        <v>0</v>
      </c>
      <c r="AR37" s="441">
        <v>2079.8079889270398</v>
      </c>
      <c r="AS37">
        <v>0</v>
      </c>
      <c r="AT37">
        <v>0</v>
      </c>
      <c r="AU37">
        <v>0</v>
      </c>
      <c r="AV37">
        <v>0.68040292617370901</v>
      </c>
      <c r="AW37">
        <v>7.9235195714272E-7</v>
      </c>
      <c r="AX37">
        <v>22.6302202766154</v>
      </c>
      <c r="AY37">
        <v>9.9876067349856101E-2</v>
      </c>
      <c r="AZ37">
        <v>0</v>
      </c>
      <c r="BA37">
        <v>0</v>
      </c>
      <c r="BB37">
        <v>0</v>
      </c>
      <c r="BC37">
        <v>0</v>
      </c>
      <c r="BD37">
        <v>0</v>
      </c>
      <c r="BE37">
        <v>0.52289113434017098</v>
      </c>
      <c r="BF37">
        <v>354.91241395986202</v>
      </c>
      <c r="BG37">
        <v>-9.2410309857117792</v>
      </c>
      <c r="BH37">
        <v>363.80101242916697</v>
      </c>
      <c r="BI37">
        <v>0.35243251640691797</v>
      </c>
      <c r="BL37">
        <v>0.19019605808091899</v>
      </c>
      <c r="BM37">
        <v>0.19019605808091899</v>
      </c>
      <c r="BN37">
        <v>2.1566625251790299</v>
      </c>
      <c r="BS37">
        <v>2.9112337600000001E-12</v>
      </c>
      <c r="BT37">
        <v>0.428225285510827</v>
      </c>
      <c r="BU37">
        <v>2078.5985197138398</v>
      </c>
      <c r="BV37">
        <v>1.46601486686842E-3</v>
      </c>
      <c r="BW37">
        <v>9.99134490620742</v>
      </c>
    </row>
    <row r="38" spans="1:76" x14ac:dyDescent="0.25">
      <c r="A38" t="s">
        <v>304</v>
      </c>
      <c r="B38" t="s">
        <v>240</v>
      </c>
      <c r="C38" t="s">
        <v>305</v>
      </c>
      <c r="D38" t="s">
        <v>1006</v>
      </c>
      <c r="E38" t="s">
        <v>299</v>
      </c>
      <c r="G38" t="s">
        <v>222</v>
      </c>
      <c r="I38" t="s">
        <v>223</v>
      </c>
      <c r="T38">
        <v>1</v>
      </c>
      <c r="U38" t="s">
        <v>231</v>
      </c>
      <c r="V38" t="s">
        <v>306</v>
      </c>
      <c r="W38" t="s">
        <v>307</v>
      </c>
      <c r="Z38">
        <v>900</v>
      </c>
      <c r="AE38" t="s">
        <v>225</v>
      </c>
      <c r="AF38" s="441">
        <v>93.1477</v>
      </c>
      <c r="AG38" s="441">
        <v>6.7692499999999997E-12</v>
      </c>
      <c r="AH38" s="441">
        <v>-3.333E-3</v>
      </c>
      <c r="AI38" s="441">
        <v>0.13822699999999999</v>
      </c>
      <c r="AJ38" s="441">
        <v>3.2033100000000002E-2</v>
      </c>
      <c r="AK38" s="441">
        <v>9.3126999999999998E-6</v>
      </c>
      <c r="AL38" s="441">
        <v>907.01300000000003</v>
      </c>
      <c r="AM38" s="441">
        <v>193.88499999999999</v>
      </c>
      <c r="AN38" s="441">
        <v>0</v>
      </c>
      <c r="AO38" s="441">
        <v>193.88499999999999</v>
      </c>
      <c r="AP38" s="441">
        <v>948.01099999999997</v>
      </c>
      <c r="AQ38" s="441">
        <v>0</v>
      </c>
      <c r="AR38" s="441">
        <v>948.01099999999997</v>
      </c>
      <c r="AS38">
        <v>0</v>
      </c>
      <c r="AT38">
        <v>0</v>
      </c>
      <c r="AU38">
        <v>0</v>
      </c>
      <c r="AV38">
        <v>0.712368</v>
      </c>
      <c r="AW38">
        <v>7.40209E-6</v>
      </c>
      <c r="AX38">
        <v>4.5565199999999999</v>
      </c>
      <c r="AY38">
        <v>1.6237399999999999E-2</v>
      </c>
      <c r="AZ38">
        <v>0</v>
      </c>
      <c r="BA38">
        <v>0</v>
      </c>
      <c r="BB38">
        <v>0</v>
      </c>
      <c r="BC38">
        <v>0</v>
      </c>
      <c r="BD38">
        <v>0</v>
      </c>
    </row>
    <row r="40" spans="1:76" x14ac:dyDescent="0.25">
      <c r="A40" t="s">
        <v>244</v>
      </c>
      <c r="B40" t="s">
        <v>240</v>
      </c>
      <c r="C40" t="s">
        <v>245</v>
      </c>
      <c r="D40" t="s">
        <v>995</v>
      </c>
      <c r="E40" t="s">
        <v>246</v>
      </c>
      <c r="G40" t="s">
        <v>222</v>
      </c>
      <c r="I40" t="s">
        <v>223</v>
      </c>
      <c r="T40">
        <v>1</v>
      </c>
      <c r="U40" t="s">
        <v>231</v>
      </c>
      <c r="V40" t="s">
        <v>247</v>
      </c>
      <c r="W40" t="s">
        <v>248</v>
      </c>
      <c r="Z40">
        <v>481.6</v>
      </c>
      <c r="AE40" t="s">
        <v>225</v>
      </c>
      <c r="AF40" s="441">
        <v>-693.83600000000001</v>
      </c>
      <c r="AG40" s="441">
        <v>2.4210999999999999E-12</v>
      </c>
      <c r="AH40" s="441">
        <v>-2.0399200000000002E-3</v>
      </c>
      <c r="AI40" s="441">
        <v>0.41422599999999998</v>
      </c>
      <c r="AJ40" s="441">
        <v>9.8471500000000003E-2</v>
      </c>
      <c r="AK40" s="441">
        <v>2.7758000000000001E-5</v>
      </c>
      <c r="AL40" s="441">
        <v>1292.3599999999999</v>
      </c>
      <c r="AM40" s="441">
        <v>694.41800000000001</v>
      </c>
      <c r="AN40" s="441">
        <v>9005.92</v>
      </c>
      <c r="AO40" s="441">
        <v>9700.34</v>
      </c>
      <c r="AP40" s="441">
        <v>1426.89</v>
      </c>
      <c r="AQ40" s="441">
        <v>0</v>
      </c>
      <c r="AR40" s="441">
        <v>1426.89</v>
      </c>
      <c r="AS40">
        <v>0</v>
      </c>
      <c r="AT40">
        <v>0</v>
      </c>
      <c r="AU40">
        <v>0</v>
      </c>
      <c r="AV40">
        <v>0.24884300000000001</v>
      </c>
      <c r="AW40">
        <v>2.83617E-5</v>
      </c>
      <c r="AX40">
        <v>0.72740099999999996</v>
      </c>
      <c r="AY40">
        <v>5.3277999999999999E-2</v>
      </c>
      <c r="AZ40">
        <v>0</v>
      </c>
      <c r="BA40">
        <v>0</v>
      </c>
      <c r="BB40">
        <v>0</v>
      </c>
      <c r="BC40">
        <v>0</v>
      </c>
      <c r="BD40">
        <v>0</v>
      </c>
    </row>
    <row r="41" spans="1:76" x14ac:dyDescent="0.25">
      <c r="A41" t="s">
        <v>512</v>
      </c>
      <c r="B41" t="s">
        <v>473</v>
      </c>
      <c r="C41" t="s">
        <v>1018</v>
      </c>
      <c r="D41" t="s">
        <v>513</v>
      </c>
      <c r="E41" t="s">
        <v>241</v>
      </c>
      <c r="F41" t="s">
        <v>514</v>
      </c>
      <c r="G41" t="s">
        <v>476</v>
      </c>
      <c r="H41" t="s">
        <v>477</v>
      </c>
      <c r="I41" t="s">
        <v>223</v>
      </c>
      <c r="J41">
        <v>2021</v>
      </c>
      <c r="K41">
        <v>2022</v>
      </c>
      <c r="L41" t="s">
        <v>515</v>
      </c>
      <c r="M41" t="s">
        <v>479</v>
      </c>
      <c r="Q41" t="s">
        <v>512</v>
      </c>
      <c r="T41">
        <v>1</v>
      </c>
      <c r="U41" t="s">
        <v>231</v>
      </c>
      <c r="V41" t="s">
        <v>242</v>
      </c>
      <c r="W41" t="s">
        <v>243</v>
      </c>
      <c r="Z41">
        <v>529</v>
      </c>
      <c r="AE41" t="s">
        <v>225</v>
      </c>
      <c r="AM41" s="441">
        <v>2470.92214583449</v>
      </c>
      <c r="AN41" s="441">
        <v>9522</v>
      </c>
      <c r="AO41" s="441">
        <v>11992.9221458345</v>
      </c>
      <c r="AP41" s="441">
        <v>2691.8136240856802</v>
      </c>
      <c r="AQ41" s="441">
        <v>0</v>
      </c>
      <c r="AR41" s="441">
        <v>2691.8136240856802</v>
      </c>
      <c r="AS41">
        <v>0</v>
      </c>
      <c r="AT41">
        <v>0</v>
      </c>
      <c r="AU41">
        <v>0</v>
      </c>
      <c r="AV41">
        <v>0.57692935365966902</v>
      </c>
      <c r="AW41">
        <v>1.10168809731384E-6</v>
      </c>
      <c r="AX41">
        <v>1.6873824031615801</v>
      </c>
      <c r="AY41">
        <v>0.15121418152022201</v>
      </c>
      <c r="AZ41">
        <v>0</v>
      </c>
      <c r="BA41">
        <v>0</v>
      </c>
      <c r="BB41">
        <v>0</v>
      </c>
      <c r="BC41">
        <v>0</v>
      </c>
      <c r="BD41">
        <v>0</v>
      </c>
      <c r="BE41">
        <v>0.76852387102539599</v>
      </c>
      <c r="BF41">
        <v>-636.14449532812898</v>
      </c>
      <c r="BG41">
        <v>-841.48595300323802</v>
      </c>
      <c r="BH41">
        <v>204.54605589270699</v>
      </c>
      <c r="BI41">
        <v>0.79540178240145998</v>
      </c>
      <c r="BL41">
        <v>0.33414561297669398</v>
      </c>
      <c r="BM41">
        <v>0.33414561297669398</v>
      </c>
      <c r="BN41">
        <v>3.6377312107809101</v>
      </c>
      <c r="BS41">
        <v>6.1274976799999996E-12</v>
      </c>
      <c r="BT41">
        <v>1.20051533418959</v>
      </c>
      <c r="BU41">
        <v>2691.1993759606598</v>
      </c>
      <c r="BV41">
        <v>7.7786791443473994E-5</v>
      </c>
      <c r="BW41">
        <v>4.0364118055765097</v>
      </c>
    </row>
    <row r="42" spans="1:76" x14ac:dyDescent="0.25">
      <c r="A42" t="s">
        <v>258</v>
      </c>
      <c r="B42" t="s">
        <v>259</v>
      </c>
      <c r="C42" t="s">
        <v>260</v>
      </c>
      <c r="D42" t="s">
        <v>997</v>
      </c>
      <c r="E42" t="s">
        <v>261</v>
      </c>
      <c r="G42" t="s">
        <v>229</v>
      </c>
      <c r="I42" t="s">
        <v>262</v>
      </c>
      <c r="T42">
        <v>1</v>
      </c>
      <c r="U42" t="s">
        <v>231</v>
      </c>
      <c r="V42" t="s">
        <v>263</v>
      </c>
      <c r="W42" t="s">
        <v>264</v>
      </c>
      <c r="Z42">
        <v>480</v>
      </c>
      <c r="AD42">
        <v>2.0833000000000002E-3</v>
      </c>
      <c r="AE42" t="s">
        <v>225</v>
      </c>
      <c r="AF42" s="441">
        <v>-601.29100000000005</v>
      </c>
      <c r="AG42" s="441">
        <v>1.9300000000000002E-5</v>
      </c>
      <c r="AH42" s="441">
        <v>0.14932100000000001</v>
      </c>
      <c r="AI42" s="441">
        <v>0.97534200000000004</v>
      </c>
      <c r="AJ42" s="441">
        <v>0.33436300000000002</v>
      </c>
      <c r="AK42" s="441">
        <v>6.1876399999999995E-4</v>
      </c>
      <c r="AL42" s="441">
        <v>2491.52</v>
      </c>
      <c r="AM42" s="441">
        <v>1058.0899999999999</v>
      </c>
      <c r="AN42" s="441">
        <v>8210.4500000000007</v>
      </c>
      <c r="AO42" s="441">
        <v>9268.5400000000009</v>
      </c>
      <c r="AP42" s="441">
        <v>2594.67</v>
      </c>
      <c r="AQ42" s="441">
        <v>163.69900000000001</v>
      </c>
      <c r="AR42" s="441">
        <v>2756.8</v>
      </c>
      <c r="AS42">
        <v>0</v>
      </c>
      <c r="AT42">
        <v>0</v>
      </c>
      <c r="AU42">
        <v>0</v>
      </c>
      <c r="AV42">
        <v>1.8458700000000001E-2</v>
      </c>
      <c r="AW42">
        <v>6.2124199999999997E-3</v>
      </c>
      <c r="AX42">
        <v>60.2727</v>
      </c>
      <c r="AY42">
        <v>2.3522000000000001E-2</v>
      </c>
      <c r="AZ42">
        <v>0</v>
      </c>
      <c r="BA42">
        <v>0</v>
      </c>
      <c r="BB42">
        <v>0</v>
      </c>
      <c r="BC42">
        <v>0</v>
      </c>
      <c r="BD42">
        <v>0</v>
      </c>
    </row>
    <row r="43" spans="1:76" x14ac:dyDescent="0.25">
      <c r="A43" t="s">
        <v>249</v>
      </c>
      <c r="B43" t="s">
        <v>240</v>
      </c>
      <c r="C43" t="s">
        <v>250</v>
      </c>
      <c r="D43" t="s">
        <v>996</v>
      </c>
      <c r="E43" t="s">
        <v>251</v>
      </c>
      <c r="G43" t="s">
        <v>222</v>
      </c>
      <c r="I43" t="s">
        <v>223</v>
      </c>
      <c r="T43">
        <v>1</v>
      </c>
      <c r="U43" t="s">
        <v>231</v>
      </c>
      <c r="V43" t="s">
        <v>252</v>
      </c>
      <c r="W43" t="s">
        <v>253</v>
      </c>
      <c r="Z43">
        <v>515.20000000000005</v>
      </c>
      <c r="AE43" t="s">
        <v>225</v>
      </c>
      <c r="AF43" s="441">
        <v>-590.62900000000002</v>
      </c>
      <c r="AG43" s="441">
        <v>7.0606E-12</v>
      </c>
      <c r="AH43" s="441">
        <v>5.7529900000000002E-2</v>
      </c>
      <c r="AI43" s="441">
        <v>0.70371700000000004</v>
      </c>
      <c r="AJ43" s="441">
        <v>0.15881899999999999</v>
      </c>
      <c r="AK43" s="441">
        <v>7.4398200000000002E-5</v>
      </c>
      <c r="AL43" s="441">
        <v>3097.97</v>
      </c>
      <c r="AM43" s="441">
        <v>1584.74</v>
      </c>
      <c r="AN43" s="441">
        <v>10881</v>
      </c>
      <c r="AO43" s="441">
        <v>12465.8</v>
      </c>
      <c r="AP43" s="441">
        <v>3490.89</v>
      </c>
      <c r="AQ43" s="441">
        <v>0</v>
      </c>
      <c r="AR43" s="441">
        <v>3490.89</v>
      </c>
      <c r="AS43">
        <v>0</v>
      </c>
      <c r="AT43">
        <v>0</v>
      </c>
      <c r="AU43">
        <v>0</v>
      </c>
      <c r="AV43">
        <v>0.73706099999999997</v>
      </c>
      <c r="AW43">
        <v>3.38517E-5</v>
      </c>
      <c r="AX43">
        <v>1.99658</v>
      </c>
      <c r="AY43">
        <v>0.15563199999999999</v>
      </c>
      <c r="AZ43">
        <v>0</v>
      </c>
      <c r="BA43">
        <v>0</v>
      </c>
      <c r="BB43">
        <v>0</v>
      </c>
      <c r="BC43">
        <v>0</v>
      </c>
      <c r="BD43">
        <v>0</v>
      </c>
    </row>
    <row r="44" spans="1:76" s="392" customFormat="1" x14ac:dyDescent="0.25">
      <c r="A44" s="392" t="s">
        <v>504</v>
      </c>
      <c r="B44" s="392" t="s">
        <v>505</v>
      </c>
      <c r="C44" s="392" t="s">
        <v>511</v>
      </c>
      <c r="D44" s="392" t="s">
        <v>506</v>
      </c>
      <c r="E44" s="392" t="s">
        <v>254</v>
      </c>
      <c r="F44" s="392" t="s">
        <v>507</v>
      </c>
      <c r="G44" s="392" t="s">
        <v>487</v>
      </c>
      <c r="H44" s="392" t="s">
        <v>477</v>
      </c>
      <c r="I44" s="392" t="s">
        <v>256</v>
      </c>
      <c r="J44" s="392">
        <v>2021</v>
      </c>
      <c r="K44" s="392">
        <v>2026</v>
      </c>
      <c r="L44" s="392" t="s">
        <v>508</v>
      </c>
      <c r="M44" s="392" t="s">
        <v>489</v>
      </c>
      <c r="P44" s="392" t="s">
        <v>489</v>
      </c>
      <c r="Q44" s="392" t="s">
        <v>509</v>
      </c>
      <c r="R44" s="392" t="s">
        <v>510</v>
      </c>
      <c r="T44" s="392">
        <v>1</v>
      </c>
      <c r="U44" s="392" t="s">
        <v>231</v>
      </c>
      <c r="V44" s="392" t="s">
        <v>257</v>
      </c>
      <c r="W44" s="392" t="s">
        <v>130</v>
      </c>
      <c r="Z44" s="392">
        <v>600</v>
      </c>
      <c r="AE44" s="392" t="s">
        <v>225</v>
      </c>
      <c r="AM44" s="392">
        <v>2739.69565326784</v>
      </c>
      <c r="AN44" s="392">
        <v>10371.316675763999</v>
      </c>
      <c r="AO44" s="392">
        <v>13111.012329031901</v>
      </c>
      <c r="AP44" s="392">
        <v>8158.9280867746502</v>
      </c>
      <c r="AQ44" s="392">
        <v>423.21441246877703</v>
      </c>
      <c r="AR44" s="392">
        <v>8582.1424992434295</v>
      </c>
      <c r="AS44" s="392">
        <v>0</v>
      </c>
      <c r="AT44" s="392">
        <v>0</v>
      </c>
      <c r="AU44" s="392">
        <v>0</v>
      </c>
      <c r="AV44" s="392">
        <v>1.6088901992438001</v>
      </c>
      <c r="AW44" s="392">
        <v>1.2657651353239699E-4</v>
      </c>
      <c r="AX44" s="392">
        <v>4.70687255134564</v>
      </c>
      <c r="AY44" s="392">
        <v>0.11930511384687099</v>
      </c>
      <c r="AZ44" s="392">
        <v>0</v>
      </c>
      <c r="BA44" s="392">
        <v>0</v>
      </c>
      <c r="BB44" s="392">
        <v>0</v>
      </c>
      <c r="BC44" s="392">
        <v>6.1469184679004703E-2</v>
      </c>
      <c r="BD44" s="392">
        <v>0.142800246221226</v>
      </c>
      <c r="BE44" s="392">
        <v>0.72896740905813695</v>
      </c>
      <c r="BF44" s="392">
        <v>-608.78646748019798</v>
      </c>
      <c r="BG44" s="392">
        <v>-986.66808013253603</v>
      </c>
      <c r="BH44" s="392">
        <v>377.88161265233703</v>
      </c>
      <c r="BL44" s="392">
        <v>0.31337392363958799</v>
      </c>
      <c r="BM44" s="392">
        <v>0.31337392363958799</v>
      </c>
      <c r="BN44" s="392">
        <v>2.9344421099950799</v>
      </c>
      <c r="BS44" s="392">
        <v>6.5055255799999998E-12</v>
      </c>
      <c r="BT44" s="392">
        <v>1.31843114863112</v>
      </c>
      <c r="BU44" s="392">
        <v>8579.4871002199707</v>
      </c>
      <c r="BV44" s="392">
        <v>8.8626547071927E-5</v>
      </c>
      <c r="BW44" s="392">
        <v>1.6088901992438001</v>
      </c>
    </row>
    <row r="45" spans="1:76" x14ac:dyDescent="0.25">
      <c r="A45" t="s">
        <v>278</v>
      </c>
      <c r="B45" t="s">
        <v>240</v>
      </c>
      <c r="C45" t="s">
        <v>279</v>
      </c>
      <c r="D45" t="s">
        <v>1000</v>
      </c>
      <c r="E45" t="s">
        <v>280</v>
      </c>
      <c r="G45" t="s">
        <v>222</v>
      </c>
      <c r="I45" t="s">
        <v>223</v>
      </c>
      <c r="T45">
        <v>1</v>
      </c>
      <c r="U45" t="s">
        <v>231</v>
      </c>
      <c r="V45" t="s">
        <v>281</v>
      </c>
      <c r="W45" t="s">
        <v>282</v>
      </c>
      <c r="Z45">
        <v>1200</v>
      </c>
      <c r="AE45" t="s">
        <v>225</v>
      </c>
      <c r="AF45" s="441">
        <v>1694.15</v>
      </c>
      <c r="AG45" s="441">
        <v>1.5916199999999999E-11</v>
      </c>
      <c r="AH45" s="441">
        <v>0.16137199999999999</v>
      </c>
      <c r="AI45" s="441">
        <v>1.62018</v>
      </c>
      <c r="AJ45" s="441">
        <v>0.26930100000000001</v>
      </c>
      <c r="AK45" s="441">
        <v>1.99545E-4</v>
      </c>
      <c r="AL45" s="441">
        <v>18096.8</v>
      </c>
      <c r="AM45" s="441">
        <v>5772.6</v>
      </c>
      <c r="AN45" s="441">
        <v>0</v>
      </c>
      <c r="AO45" s="441">
        <v>5772.6</v>
      </c>
      <c r="AP45" s="441">
        <v>19021.3</v>
      </c>
      <c r="AQ45" s="441">
        <v>0</v>
      </c>
      <c r="AR45" s="441">
        <v>19021.3</v>
      </c>
      <c r="AS45">
        <v>0</v>
      </c>
      <c r="AT45">
        <v>0</v>
      </c>
      <c r="AU45">
        <v>0</v>
      </c>
      <c r="AV45">
        <v>2.0701100000000001</v>
      </c>
      <c r="AW45">
        <v>1.7191900000000001E-5</v>
      </c>
      <c r="AX45">
        <v>221.84399999999999</v>
      </c>
      <c r="AY45">
        <v>0.36621399999999998</v>
      </c>
      <c r="AZ45">
        <v>0</v>
      </c>
      <c r="BA45">
        <v>0</v>
      </c>
      <c r="BB45">
        <v>0</v>
      </c>
      <c r="BC45">
        <v>0</v>
      </c>
      <c r="BD45">
        <v>0</v>
      </c>
    </row>
    <row r="48" spans="1:76" x14ac:dyDescent="0.25">
      <c r="A48" t="s">
        <v>580</v>
      </c>
      <c r="B48" t="s">
        <v>473</v>
      </c>
      <c r="C48" t="s">
        <v>581</v>
      </c>
      <c r="D48" t="s">
        <v>582</v>
      </c>
      <c r="E48" t="s">
        <v>565</v>
      </c>
      <c r="F48" t="s">
        <v>566</v>
      </c>
      <c r="G48" t="s">
        <v>476</v>
      </c>
      <c r="H48" t="s">
        <v>477</v>
      </c>
      <c r="I48" t="s">
        <v>223</v>
      </c>
      <c r="J48">
        <v>2021</v>
      </c>
      <c r="K48">
        <v>2022</v>
      </c>
      <c r="L48" t="s">
        <v>583</v>
      </c>
      <c r="M48" t="s">
        <v>479</v>
      </c>
      <c r="Q48" t="s">
        <v>580</v>
      </c>
      <c r="T48">
        <v>1</v>
      </c>
      <c r="U48" t="s">
        <v>224</v>
      </c>
      <c r="V48" t="s">
        <v>584</v>
      </c>
      <c r="W48" t="s">
        <v>585</v>
      </c>
      <c r="Y48">
        <v>10</v>
      </c>
      <c r="AE48" t="s">
        <v>225</v>
      </c>
      <c r="AM48" s="441">
        <v>11.259550401453099</v>
      </c>
      <c r="AN48" s="441">
        <v>0</v>
      </c>
      <c r="AO48" s="441">
        <v>11.259550401453099</v>
      </c>
      <c r="AP48" s="441">
        <v>169.47762236732501</v>
      </c>
      <c r="AQ48" s="441">
        <v>0</v>
      </c>
      <c r="AR48" s="441">
        <v>169.47762236732501</v>
      </c>
      <c r="AS48">
        <v>0</v>
      </c>
      <c r="AT48">
        <v>0</v>
      </c>
      <c r="AU48">
        <v>0</v>
      </c>
      <c r="AV48">
        <v>2.1832532446262799E-2</v>
      </c>
      <c r="AW48">
        <v>2.5748098499860001E-8</v>
      </c>
      <c r="AX48">
        <v>1.0678643085199699</v>
      </c>
      <c r="AY48">
        <v>3.3539143332022899E-3</v>
      </c>
      <c r="AZ48">
        <v>0</v>
      </c>
      <c r="BA48">
        <v>0</v>
      </c>
      <c r="BB48">
        <v>0</v>
      </c>
      <c r="BC48">
        <v>0</v>
      </c>
      <c r="BD48">
        <v>0</v>
      </c>
      <c r="BE48">
        <v>0.13287245596046601</v>
      </c>
      <c r="BF48">
        <v>13.457407127809301</v>
      </c>
      <c r="BG48">
        <v>2.02088445262835E-2</v>
      </c>
      <c r="BH48">
        <v>13.4322881989553</v>
      </c>
      <c r="BI48">
        <v>4.9100843277853704E-3</v>
      </c>
      <c r="BL48">
        <v>3.0489682164679999E-2</v>
      </c>
      <c r="BM48">
        <v>3.0489682164679999E-2</v>
      </c>
      <c r="BN48">
        <v>0.350316337162275</v>
      </c>
      <c r="BS48">
        <v>3.2355389999999997E-14</v>
      </c>
      <c r="BT48">
        <v>6.1429599510007003E-2</v>
      </c>
      <c r="BU48">
        <v>169.402026008267</v>
      </c>
      <c r="BV48">
        <v>7.9348079876203003E-7</v>
      </c>
      <c r="BW48">
        <v>0.66653824733785405</v>
      </c>
      <c r="BX48" t="s">
        <v>596</v>
      </c>
    </row>
    <row r="49" spans="1:76" x14ac:dyDescent="0.25">
      <c r="A49" t="s">
        <v>562</v>
      </c>
      <c r="B49" t="s">
        <v>473</v>
      </c>
      <c r="C49" t="s">
        <v>563</v>
      </c>
      <c r="D49" t="s">
        <v>564</v>
      </c>
      <c r="E49" t="s">
        <v>565</v>
      </c>
      <c r="F49" t="s">
        <v>566</v>
      </c>
      <c r="G49" t="s">
        <v>476</v>
      </c>
      <c r="H49" t="s">
        <v>477</v>
      </c>
      <c r="I49" t="s">
        <v>223</v>
      </c>
      <c r="J49">
        <v>2021</v>
      </c>
      <c r="K49">
        <v>2022</v>
      </c>
      <c r="L49" s="199" t="s">
        <v>567</v>
      </c>
      <c r="M49" t="s">
        <v>479</v>
      </c>
      <c r="Q49" t="s">
        <v>562</v>
      </c>
      <c r="T49">
        <v>1</v>
      </c>
      <c r="U49" t="s">
        <v>224</v>
      </c>
      <c r="V49" t="s">
        <v>568</v>
      </c>
      <c r="W49" t="s">
        <v>569</v>
      </c>
      <c r="Y49">
        <v>20.5</v>
      </c>
      <c r="AE49" t="s">
        <v>225</v>
      </c>
      <c r="AM49" s="441">
        <v>42.815002369949802</v>
      </c>
      <c r="AN49" s="441">
        <v>0</v>
      </c>
      <c r="AO49" s="441">
        <v>42.815002369949802</v>
      </c>
      <c r="AP49" s="441">
        <v>445.25990297209501</v>
      </c>
      <c r="AQ49" s="441">
        <v>18</v>
      </c>
      <c r="AR49" s="441">
        <v>463.25990297209501</v>
      </c>
      <c r="AS49">
        <v>0</v>
      </c>
      <c r="AT49">
        <v>0</v>
      </c>
      <c r="AU49">
        <v>0</v>
      </c>
      <c r="AV49">
        <v>7.5681595497715998E-2</v>
      </c>
      <c r="AW49">
        <v>1.0276038610592E-7</v>
      </c>
      <c r="AX49">
        <v>2.42823041184799</v>
      </c>
      <c r="AY49">
        <v>4.6023194078622402E-3</v>
      </c>
      <c r="AZ49">
        <v>0</v>
      </c>
      <c r="BA49">
        <v>0</v>
      </c>
      <c r="BB49">
        <v>0</v>
      </c>
      <c r="BC49">
        <v>0</v>
      </c>
      <c r="BD49">
        <v>0</v>
      </c>
      <c r="BE49">
        <v>0.20688600830253301</v>
      </c>
      <c r="BF49">
        <v>37.469781617036702</v>
      </c>
      <c r="BG49">
        <v>0.13991035345597799</v>
      </c>
      <c r="BH49">
        <v>37.301489546144097</v>
      </c>
      <c r="BI49">
        <v>2.8381717436657801E-2</v>
      </c>
      <c r="BL49">
        <v>7.6504423070080804E-2</v>
      </c>
      <c r="BM49">
        <v>7.6504423070080804E-2</v>
      </c>
      <c r="BN49">
        <v>0.90916829171921398</v>
      </c>
      <c r="BS49">
        <v>1.7358476999999999E-13</v>
      </c>
      <c r="BT49">
        <v>0.19717706969974899</v>
      </c>
      <c r="BU49">
        <v>466.786184332863</v>
      </c>
      <c r="BV49">
        <v>1.4555447893228E-5</v>
      </c>
      <c r="BW49">
        <v>-1.0015012597205599</v>
      </c>
      <c r="BX49" t="s">
        <v>595</v>
      </c>
    </row>
    <row r="50" spans="1:76" x14ac:dyDescent="0.25">
      <c r="A50" t="s">
        <v>586</v>
      </c>
      <c r="B50" t="s">
        <v>473</v>
      </c>
      <c r="C50" t="s">
        <v>587</v>
      </c>
      <c r="D50" t="s">
        <v>588</v>
      </c>
      <c r="E50" t="s">
        <v>565</v>
      </c>
      <c r="F50" t="s">
        <v>566</v>
      </c>
      <c r="G50" t="s">
        <v>476</v>
      </c>
      <c r="H50" t="s">
        <v>477</v>
      </c>
      <c r="I50" t="s">
        <v>223</v>
      </c>
      <c r="J50">
        <v>2021</v>
      </c>
      <c r="K50">
        <v>2022</v>
      </c>
      <c r="L50" t="s">
        <v>589</v>
      </c>
      <c r="M50" t="s">
        <v>479</v>
      </c>
      <c r="Q50" t="s">
        <v>586</v>
      </c>
      <c r="T50">
        <v>1</v>
      </c>
      <c r="U50" t="s">
        <v>224</v>
      </c>
      <c r="V50" t="s">
        <v>590</v>
      </c>
      <c r="W50" t="s">
        <v>591</v>
      </c>
      <c r="Y50">
        <v>30</v>
      </c>
      <c r="AA50">
        <f>(3*4+2*16)/1000</f>
        <v>4.3999999999999997E-2</v>
      </c>
      <c r="AE50" t="s">
        <v>225</v>
      </c>
      <c r="AM50" s="441">
        <v>73.350138008296398</v>
      </c>
      <c r="AN50" s="441">
        <v>0</v>
      </c>
      <c r="AO50" s="441">
        <v>73.350138008296398</v>
      </c>
      <c r="AP50" s="441">
        <v>702.01016373178004</v>
      </c>
      <c r="AQ50" s="441">
        <v>36</v>
      </c>
      <c r="AR50" s="441">
        <v>738.01016373178004</v>
      </c>
      <c r="AS50">
        <v>0</v>
      </c>
      <c r="AT50">
        <v>0</v>
      </c>
      <c r="AU50">
        <v>0</v>
      </c>
      <c r="AV50">
        <v>0.119797907527101</v>
      </c>
      <c r="AW50">
        <v>1.6280234231134999E-7</v>
      </c>
      <c r="AX50">
        <v>3.6672733212561099</v>
      </c>
      <c r="AY50">
        <v>7.9087423657495295E-3</v>
      </c>
      <c r="AZ50">
        <v>0</v>
      </c>
      <c r="BA50">
        <v>0</v>
      </c>
      <c r="BB50">
        <v>0</v>
      </c>
      <c r="BC50">
        <v>0</v>
      </c>
      <c r="BD50">
        <v>0</v>
      </c>
      <c r="BE50">
        <v>0.32090423819972103</v>
      </c>
      <c r="BF50">
        <v>58.435988946450301</v>
      </c>
      <c r="BG50">
        <v>0.24472270973951499</v>
      </c>
      <c r="BH50">
        <v>58.145662039727704</v>
      </c>
      <c r="BI50">
        <v>4.5604196983127898E-2</v>
      </c>
      <c r="BL50">
        <v>0.11923866437589099</v>
      </c>
      <c r="BM50">
        <v>0.11923866437589099</v>
      </c>
      <c r="BN50">
        <v>1.4122053051469701</v>
      </c>
      <c r="BS50">
        <v>2.9952285E-13</v>
      </c>
      <c r="BT50">
        <v>0.30705852820092999</v>
      </c>
      <c r="BU50">
        <v>745.09274436218698</v>
      </c>
      <c r="BV50">
        <v>2.7853505703622799E-5</v>
      </c>
      <c r="BW50">
        <v>-1.48036573396756</v>
      </c>
      <c r="BX50" t="s">
        <v>594</v>
      </c>
    </row>
    <row r="51" spans="1:76" x14ac:dyDescent="0.25">
      <c r="A51" t="s">
        <v>654</v>
      </c>
      <c r="B51" t="s">
        <v>655</v>
      </c>
      <c r="C51" t="s">
        <v>656</v>
      </c>
      <c r="D51" t="s">
        <v>657</v>
      </c>
      <c r="E51" t="s">
        <v>565</v>
      </c>
      <c r="F51" t="s">
        <v>566</v>
      </c>
      <c r="G51" t="s">
        <v>255</v>
      </c>
      <c r="H51" t="s">
        <v>570</v>
      </c>
      <c r="I51" t="s">
        <v>571</v>
      </c>
      <c r="J51">
        <v>2017</v>
      </c>
      <c r="K51">
        <v>2022</v>
      </c>
      <c r="L51" t="s">
        <v>658</v>
      </c>
      <c r="M51" t="s">
        <v>572</v>
      </c>
      <c r="T51">
        <v>1</v>
      </c>
      <c r="U51" t="s">
        <v>224</v>
      </c>
      <c r="V51" t="s">
        <v>659</v>
      </c>
      <c r="W51" t="s">
        <v>656</v>
      </c>
      <c r="Y51">
        <v>15</v>
      </c>
      <c r="Z51">
        <v>2500</v>
      </c>
      <c r="AA51">
        <v>6.0000000000000001E-3</v>
      </c>
      <c r="AE51" t="s">
        <v>225</v>
      </c>
      <c r="AF51" s="441">
        <v>20.762460000000001</v>
      </c>
      <c r="AG51" s="441">
        <v>3.0714240000000001E-11</v>
      </c>
      <c r="AH51" s="441">
        <v>1.021848E-2</v>
      </c>
      <c r="AI51" s="441">
        <v>0.19509179999999901</v>
      </c>
      <c r="AJ51" s="441">
        <v>1.7005860000000001E-2</v>
      </c>
      <c r="AK51" s="441">
        <v>1.4070719999999999E-4</v>
      </c>
      <c r="AL51" s="441">
        <v>333.7962</v>
      </c>
      <c r="AM51" s="441">
        <v>44.319659999999999</v>
      </c>
      <c r="AN51" s="441">
        <v>0</v>
      </c>
      <c r="AO51" s="441">
        <v>44.319659999999999</v>
      </c>
      <c r="AP51" s="441">
        <v>381.51780000000002</v>
      </c>
      <c r="AQ51" s="441">
        <v>0</v>
      </c>
      <c r="AR51" s="441">
        <v>381.51780000000002</v>
      </c>
      <c r="AS51">
        <v>0.61512</v>
      </c>
      <c r="AT51">
        <v>9.9999999999999995E-21</v>
      </c>
      <c r="AU51">
        <v>1.7000000000000001E-19</v>
      </c>
      <c r="AV51">
        <v>0.101553</v>
      </c>
      <c r="AW51">
        <v>5.5659239999999995E-7</v>
      </c>
      <c r="AX51">
        <v>15.96744</v>
      </c>
      <c r="AY51">
        <v>1.8933539999999999E-2</v>
      </c>
      <c r="AZ51">
        <v>0</v>
      </c>
      <c r="BA51">
        <v>0.378</v>
      </c>
      <c r="BB51">
        <v>0</v>
      </c>
      <c r="BC51">
        <v>0</v>
      </c>
      <c r="BD51">
        <v>0</v>
      </c>
    </row>
    <row r="52" spans="1:76" x14ac:dyDescent="0.25">
      <c r="A52" t="s">
        <v>573</v>
      </c>
      <c r="B52" t="s">
        <v>574</v>
      </c>
      <c r="C52" t="s">
        <v>575</v>
      </c>
      <c r="D52" t="s">
        <v>989</v>
      </c>
      <c r="E52" t="s">
        <v>565</v>
      </c>
      <c r="F52" t="s">
        <v>566</v>
      </c>
      <c r="G52" t="s">
        <v>255</v>
      </c>
      <c r="H52" t="s">
        <v>576</v>
      </c>
      <c r="I52" t="s">
        <v>262</v>
      </c>
      <c r="J52">
        <v>2016</v>
      </c>
      <c r="K52">
        <v>2021</v>
      </c>
      <c r="L52" t="s">
        <v>577</v>
      </c>
      <c r="M52" t="s">
        <v>578</v>
      </c>
      <c r="T52">
        <v>1</v>
      </c>
      <c r="U52" t="s">
        <v>224</v>
      </c>
      <c r="V52" t="s">
        <v>579</v>
      </c>
      <c r="W52" t="s">
        <v>575</v>
      </c>
      <c r="Y52">
        <v>2.5</v>
      </c>
      <c r="AA52">
        <v>1E-3</v>
      </c>
      <c r="AE52" t="s">
        <v>225</v>
      </c>
      <c r="AF52" s="441">
        <v>2.46</v>
      </c>
      <c r="AG52" s="441">
        <v>3.8500000000000001E-10</v>
      </c>
      <c r="AH52" s="441">
        <v>5.3600000000000002E-4</v>
      </c>
      <c r="AI52" s="441">
        <v>6.0899999999999999E-3</v>
      </c>
      <c r="AJ52" s="441">
        <v>1.0200000000000001E-3</v>
      </c>
      <c r="AK52" s="441">
        <v>2.26E-5</v>
      </c>
      <c r="AL52" s="441">
        <v>34.869999999999997</v>
      </c>
      <c r="AM52" s="441">
        <v>2.5099999999999998</v>
      </c>
      <c r="AN52" s="441">
        <v>0</v>
      </c>
      <c r="AO52" s="441">
        <v>2.5099999999999998</v>
      </c>
      <c r="AP52" s="441">
        <v>37.659999999999997</v>
      </c>
      <c r="AQ52" s="441">
        <v>0</v>
      </c>
      <c r="AR52" s="441">
        <v>37.659999999999997</v>
      </c>
      <c r="AS52">
        <v>0</v>
      </c>
      <c r="AT52">
        <v>3.7100000000000002E-4</v>
      </c>
      <c r="AU52">
        <v>4.9100000000000003E-3</v>
      </c>
      <c r="AV52">
        <v>0.01</v>
      </c>
      <c r="AW52">
        <v>1.2200000000000001E-7</v>
      </c>
      <c r="AX52">
        <v>0.14000000000000001</v>
      </c>
      <c r="AY52">
        <v>1.1100000000000001E-3</v>
      </c>
      <c r="AZ52">
        <v>0</v>
      </c>
      <c r="BA52">
        <v>2.8400000000000002E-4</v>
      </c>
      <c r="BB52">
        <v>0</v>
      </c>
      <c r="BC52">
        <v>0</v>
      </c>
      <c r="BD52">
        <v>0</v>
      </c>
    </row>
    <row r="53" spans="1:76" x14ac:dyDescent="0.25">
      <c r="A53" t="s">
        <v>660</v>
      </c>
      <c r="B53" t="s">
        <v>661</v>
      </c>
      <c r="C53" t="s">
        <v>662</v>
      </c>
      <c r="D53" t="s">
        <v>988</v>
      </c>
      <c r="E53" t="s">
        <v>565</v>
      </c>
      <c r="F53" t="s">
        <v>566</v>
      </c>
      <c r="G53" t="s">
        <v>255</v>
      </c>
      <c r="H53" t="s">
        <v>576</v>
      </c>
      <c r="I53" t="s">
        <v>230</v>
      </c>
      <c r="J53">
        <v>2016</v>
      </c>
      <c r="K53">
        <v>2021</v>
      </c>
      <c r="L53" t="s">
        <v>663</v>
      </c>
      <c r="M53" t="s">
        <v>578</v>
      </c>
      <c r="T53">
        <v>1</v>
      </c>
      <c r="U53" t="s">
        <v>224</v>
      </c>
      <c r="V53" t="s">
        <v>664</v>
      </c>
      <c r="W53" t="s">
        <v>662</v>
      </c>
      <c r="Y53">
        <v>2.5</v>
      </c>
      <c r="AA53">
        <v>1E-3</v>
      </c>
      <c r="AE53" t="s">
        <v>225</v>
      </c>
      <c r="AF53" s="441">
        <v>2.2999999999999998</v>
      </c>
      <c r="AG53" s="441">
        <v>2.7499999999999998E-10</v>
      </c>
      <c r="AH53" s="441">
        <v>5.0600000000000005E-4</v>
      </c>
      <c r="AI53" s="441">
        <v>5.6499999999999996E-3</v>
      </c>
      <c r="AJ53" s="441">
        <v>9.7599999999999998E-4</v>
      </c>
      <c r="AK53" s="441">
        <v>2.2500000000000001E-5</v>
      </c>
      <c r="AL53" s="441">
        <v>33.15</v>
      </c>
      <c r="AM53" s="441">
        <v>1.75</v>
      </c>
      <c r="AN53" s="441">
        <v>0</v>
      </c>
      <c r="AO53" s="441">
        <v>1.75</v>
      </c>
      <c r="AP53" s="441">
        <v>34.93</v>
      </c>
      <c r="AQ53" s="441">
        <v>0</v>
      </c>
      <c r="AR53" s="441">
        <v>34.93</v>
      </c>
      <c r="AS53">
        <v>0</v>
      </c>
      <c r="AT53">
        <v>3.3399999999999999E-4</v>
      </c>
      <c r="AU53">
        <v>4.3499999999999997E-3</v>
      </c>
      <c r="AV53">
        <v>6.7400000000000003E-3</v>
      </c>
      <c r="AW53">
        <v>1.1999999999999999E-7</v>
      </c>
      <c r="AX53">
        <v>0.14000000000000001</v>
      </c>
      <c r="AY53">
        <v>7.0799999999999997E-4</v>
      </c>
      <c r="AZ53">
        <v>0</v>
      </c>
      <c r="BA53">
        <v>2.8400000000000002E-4</v>
      </c>
      <c r="BB53">
        <v>0</v>
      </c>
      <c r="BC53">
        <v>0</v>
      </c>
      <c r="BD53">
        <v>0</v>
      </c>
    </row>
    <row r="55" spans="1:76" x14ac:dyDescent="0.25">
      <c r="A55" t="s">
        <v>853</v>
      </c>
      <c r="B55" t="s">
        <v>473</v>
      </c>
      <c r="C55" t="s">
        <v>793</v>
      </c>
      <c r="D55" t="s">
        <v>794</v>
      </c>
      <c r="E55" t="s">
        <v>795</v>
      </c>
      <c r="F55" t="s">
        <v>796</v>
      </c>
      <c r="G55" t="s">
        <v>476</v>
      </c>
      <c r="H55" t="s">
        <v>477</v>
      </c>
      <c r="I55" t="s">
        <v>223</v>
      </c>
      <c r="J55">
        <v>2021</v>
      </c>
      <c r="K55">
        <v>2022</v>
      </c>
      <c r="L55" s="199" t="s">
        <v>854</v>
      </c>
      <c r="M55" t="s">
        <v>479</v>
      </c>
      <c r="Q55" t="s">
        <v>853</v>
      </c>
      <c r="T55">
        <v>1</v>
      </c>
      <c r="U55" t="s">
        <v>681</v>
      </c>
      <c r="V55" t="s">
        <v>797</v>
      </c>
      <c r="W55" t="s">
        <v>798</v>
      </c>
      <c r="AC55">
        <v>3.1</v>
      </c>
      <c r="AE55" t="s">
        <v>225</v>
      </c>
      <c r="AM55" s="441">
        <v>19.612785270197602</v>
      </c>
      <c r="AN55" s="441">
        <v>0</v>
      </c>
      <c r="AO55" s="441">
        <v>19.612785270197602</v>
      </c>
      <c r="AP55" s="441">
        <v>130.77504781373199</v>
      </c>
      <c r="AQ55" s="441">
        <v>28.8</v>
      </c>
      <c r="AR55" s="441">
        <v>159.575047813732</v>
      </c>
      <c r="AS55">
        <v>0.26062026092389301</v>
      </c>
      <c r="AT55">
        <v>0</v>
      </c>
      <c r="AU55">
        <v>0</v>
      </c>
      <c r="AV55">
        <v>2.7969348682385601E-2</v>
      </c>
      <c r="AW55">
        <v>1.65884747339046E-6</v>
      </c>
      <c r="AX55">
        <v>0.40926459142597599</v>
      </c>
      <c r="AY55">
        <v>3.52021782404557E-3</v>
      </c>
      <c r="AZ55">
        <v>0</v>
      </c>
      <c r="BA55">
        <v>0</v>
      </c>
      <c r="BB55">
        <v>0</v>
      </c>
      <c r="BC55">
        <v>0</v>
      </c>
      <c r="BD55">
        <v>0</v>
      </c>
      <c r="BE55">
        <v>2.19764760645524E-2</v>
      </c>
      <c r="BF55">
        <v>9.4424096538281805</v>
      </c>
      <c r="BG55">
        <v>-2.7294909597017601E-2</v>
      </c>
      <c r="BH55">
        <v>9.4611353760432095</v>
      </c>
      <c r="BI55">
        <v>8.5691873819860702E-3</v>
      </c>
      <c r="BL55">
        <v>5.5503568322202703E-3</v>
      </c>
      <c r="BM55">
        <v>5.5503568322202703E-3</v>
      </c>
      <c r="BN55">
        <v>6.1067797980782199E-2</v>
      </c>
      <c r="BS55">
        <v>2.0884249184999999E-10</v>
      </c>
      <c r="BT55">
        <v>2.0075937050544598E-2</v>
      </c>
      <c r="BU55">
        <v>162.17290494984101</v>
      </c>
      <c r="BV55">
        <v>1.6366040936511401E-4</v>
      </c>
      <c r="BW55">
        <v>-5.0904100236168801E-2</v>
      </c>
      <c r="BX55" t="s">
        <v>863</v>
      </c>
    </row>
    <row r="56" spans="1:76" x14ac:dyDescent="0.25">
      <c r="A56" t="s">
        <v>855</v>
      </c>
      <c r="B56" t="s">
        <v>473</v>
      </c>
      <c r="C56" t="s">
        <v>799</v>
      </c>
      <c r="D56" t="s">
        <v>800</v>
      </c>
      <c r="E56" t="s">
        <v>795</v>
      </c>
      <c r="F56" t="s">
        <v>796</v>
      </c>
      <c r="G56" t="s">
        <v>476</v>
      </c>
      <c r="H56" t="s">
        <v>477</v>
      </c>
      <c r="I56" t="s">
        <v>223</v>
      </c>
      <c r="J56">
        <v>2021</v>
      </c>
      <c r="K56">
        <v>2022</v>
      </c>
      <c r="L56" t="s">
        <v>856</v>
      </c>
      <c r="M56" t="s">
        <v>479</v>
      </c>
      <c r="Q56" t="s">
        <v>855</v>
      </c>
      <c r="T56">
        <v>1</v>
      </c>
      <c r="U56" t="s">
        <v>681</v>
      </c>
      <c r="V56" s="268" t="s">
        <v>801</v>
      </c>
      <c r="W56" t="s">
        <v>802</v>
      </c>
      <c r="AC56">
        <v>2.8</v>
      </c>
      <c r="AE56" t="s">
        <v>225</v>
      </c>
      <c r="AM56" s="441">
        <v>16.392552941597401</v>
      </c>
      <c r="AN56" s="441">
        <v>0</v>
      </c>
      <c r="AO56" s="441">
        <v>16.392552941597401</v>
      </c>
      <c r="AP56" s="441">
        <v>113.317962421187</v>
      </c>
      <c r="AQ56" s="441">
        <v>23.4</v>
      </c>
      <c r="AR56" s="441">
        <v>136.717962421187</v>
      </c>
      <c r="AS56">
        <v>0.26062026092389301</v>
      </c>
      <c r="AT56">
        <v>0</v>
      </c>
      <c r="AU56">
        <v>0</v>
      </c>
      <c r="AV56">
        <v>2.3301986328654201E-2</v>
      </c>
      <c r="AW56">
        <v>1.34824661324275E-6</v>
      </c>
      <c r="AX56">
        <v>0.34153978177590499</v>
      </c>
      <c r="AY56">
        <v>2.93343423710813E-3</v>
      </c>
      <c r="AZ56">
        <v>0</v>
      </c>
      <c r="BA56">
        <v>0</v>
      </c>
      <c r="BB56">
        <v>0</v>
      </c>
      <c r="BC56">
        <v>0</v>
      </c>
      <c r="BD56">
        <v>0</v>
      </c>
      <c r="BE56">
        <v>1.9723243201171799E-2</v>
      </c>
      <c r="BF56">
        <v>8.4254129465164294</v>
      </c>
      <c r="BG56">
        <v>-2.1575534454486501E-2</v>
      </c>
      <c r="BH56">
        <v>8.4397303442319895</v>
      </c>
      <c r="BI56">
        <v>7.2581367389335299E-3</v>
      </c>
      <c r="BL56">
        <v>4.9311086592144504E-3</v>
      </c>
      <c r="BM56">
        <v>4.9311086592144504E-3</v>
      </c>
      <c r="BN56">
        <v>5.4166904247879497E-2</v>
      </c>
      <c r="BS56">
        <v>1.6968563195E-10</v>
      </c>
      <c r="BT56">
        <v>1.7680544681746301E-2</v>
      </c>
      <c r="BU56">
        <v>138.78356384542801</v>
      </c>
      <c r="BV56">
        <v>1.60374917474645E-4</v>
      </c>
      <c r="BW56">
        <v>-4.3011527396037197E-2</v>
      </c>
      <c r="BX56" t="s">
        <v>864</v>
      </c>
    </row>
    <row r="57" spans="1:76" x14ac:dyDescent="0.25">
      <c r="A57" t="s">
        <v>803</v>
      </c>
      <c r="B57" t="s">
        <v>240</v>
      </c>
      <c r="C57" t="s">
        <v>804</v>
      </c>
      <c r="D57" t="s">
        <v>805</v>
      </c>
      <c r="E57" t="s">
        <v>806</v>
      </c>
      <c r="F57" t="s">
        <v>807</v>
      </c>
      <c r="G57" t="s">
        <v>222</v>
      </c>
      <c r="H57" t="s">
        <v>477</v>
      </c>
      <c r="I57" t="s">
        <v>223</v>
      </c>
      <c r="J57">
        <v>2018</v>
      </c>
      <c r="K57">
        <v>2022</v>
      </c>
      <c r="L57" t="s">
        <v>808</v>
      </c>
      <c r="M57" t="s">
        <v>680</v>
      </c>
      <c r="T57">
        <v>1</v>
      </c>
      <c r="U57" t="s">
        <v>183</v>
      </c>
      <c r="V57" t="s">
        <v>809</v>
      </c>
      <c r="W57" t="s">
        <v>810</v>
      </c>
      <c r="AE57" t="s">
        <v>225</v>
      </c>
      <c r="AF57" s="441">
        <v>2.0093839505545001</v>
      </c>
      <c r="AG57" s="441">
        <v>1.011886148E-10</v>
      </c>
      <c r="AH57" s="441">
        <v>7.1372916427544998E-4</v>
      </c>
      <c r="AI57" s="441">
        <v>2.73271813894615E-3</v>
      </c>
      <c r="AJ57" s="441">
        <v>6.0637404355775703E-4</v>
      </c>
      <c r="AK57" s="441">
        <v>3.5343498665327998E-6</v>
      </c>
      <c r="AL57" s="441">
        <v>48.411783205085598</v>
      </c>
      <c r="AM57" s="441">
        <v>5.73693114597868</v>
      </c>
      <c r="AN57" s="441">
        <v>0</v>
      </c>
      <c r="AO57" s="441">
        <v>5.73693114597868</v>
      </c>
      <c r="AP57" s="441">
        <v>28.599428486875698</v>
      </c>
      <c r="AQ57" s="441">
        <v>22</v>
      </c>
      <c r="AR57" s="441">
        <v>50.599428486875702</v>
      </c>
      <c r="AS57">
        <v>0</v>
      </c>
      <c r="AT57">
        <v>0</v>
      </c>
      <c r="AU57">
        <v>0</v>
      </c>
      <c r="AV57">
        <v>9.9863613120143302E-3</v>
      </c>
      <c r="AW57">
        <v>6.3570967692143998E-7</v>
      </c>
      <c r="AX57">
        <v>2.0626229625155399E-2</v>
      </c>
      <c r="AY57">
        <v>8.63718804596982E-4</v>
      </c>
      <c r="AZ57">
        <v>0</v>
      </c>
      <c r="BA57">
        <v>0</v>
      </c>
      <c r="BB57">
        <v>0</v>
      </c>
      <c r="BC57">
        <v>0</v>
      </c>
      <c r="BD57">
        <v>0</v>
      </c>
    </row>
    <row r="58" spans="1:76" x14ac:dyDescent="0.25">
      <c r="A58" t="s">
        <v>811</v>
      </c>
      <c r="B58" t="s">
        <v>473</v>
      </c>
      <c r="C58" t="s">
        <v>812</v>
      </c>
      <c r="D58" t="s">
        <v>813</v>
      </c>
      <c r="E58" t="s">
        <v>806</v>
      </c>
      <c r="F58" t="s">
        <v>807</v>
      </c>
      <c r="G58" t="s">
        <v>476</v>
      </c>
      <c r="H58" t="s">
        <v>477</v>
      </c>
      <c r="I58" t="s">
        <v>223</v>
      </c>
      <c r="J58">
        <v>2021</v>
      </c>
      <c r="K58">
        <v>2022</v>
      </c>
      <c r="L58" t="s">
        <v>814</v>
      </c>
      <c r="M58" t="s">
        <v>479</v>
      </c>
      <c r="Q58" t="s">
        <v>811</v>
      </c>
      <c r="T58">
        <v>1</v>
      </c>
      <c r="U58" t="s">
        <v>183</v>
      </c>
      <c r="V58" t="s">
        <v>815</v>
      </c>
      <c r="W58" t="s">
        <v>816</v>
      </c>
      <c r="Z58">
        <v>1400</v>
      </c>
      <c r="AE58" t="s">
        <v>225</v>
      </c>
      <c r="AM58" s="441">
        <v>5.0451482589606496</v>
      </c>
      <c r="AN58" s="441">
        <v>0</v>
      </c>
      <c r="AO58" s="441">
        <v>5.0451482589606496</v>
      </c>
      <c r="AP58" s="441">
        <v>72.287901282295195</v>
      </c>
      <c r="AQ58" s="441">
        <v>12.6</v>
      </c>
      <c r="AR58" s="441">
        <v>84.887901282295104</v>
      </c>
      <c r="AS58">
        <v>0</v>
      </c>
      <c r="AT58">
        <v>0</v>
      </c>
      <c r="AU58">
        <v>0</v>
      </c>
      <c r="AV58">
        <v>1.35600367521137E-2</v>
      </c>
      <c r="AW58">
        <v>1.304758457645E-8</v>
      </c>
      <c r="AX58">
        <v>0.14789725865961401</v>
      </c>
      <c r="AY58">
        <v>6.2010890550323703E-4</v>
      </c>
      <c r="AZ58">
        <v>0</v>
      </c>
      <c r="BA58">
        <v>0</v>
      </c>
      <c r="BB58">
        <v>0</v>
      </c>
      <c r="BC58">
        <v>0</v>
      </c>
      <c r="BD58">
        <v>0</v>
      </c>
      <c r="BE58">
        <v>8.41396066623608E-3</v>
      </c>
      <c r="BF58">
        <v>3.8560419011586098</v>
      </c>
      <c r="BG58">
        <v>6.7785246486828404E-2</v>
      </c>
      <c r="BH58">
        <v>3.7865903552723501</v>
      </c>
      <c r="BI58">
        <v>1.6662993994260901E-3</v>
      </c>
      <c r="BL58">
        <v>1.73035451444338E-3</v>
      </c>
      <c r="BM58">
        <v>1.73035451444338E-3</v>
      </c>
      <c r="BN58">
        <v>1.8686427938802801E-2</v>
      </c>
      <c r="BS58">
        <v>2.0620140000000001E-14</v>
      </c>
      <c r="BT58">
        <v>5.6213276287018299E-3</v>
      </c>
      <c r="BU58">
        <v>87.3990121886238</v>
      </c>
      <c r="BV58">
        <v>6.0265776350596005E-7</v>
      </c>
      <c r="BW58">
        <v>0.123647374442233</v>
      </c>
    </row>
    <row r="59" spans="1:76" x14ac:dyDescent="0.25">
      <c r="A59" t="s">
        <v>817</v>
      </c>
      <c r="B59" t="s">
        <v>473</v>
      </c>
      <c r="C59" t="s">
        <v>818</v>
      </c>
      <c r="D59" t="s">
        <v>819</v>
      </c>
      <c r="E59" t="s">
        <v>806</v>
      </c>
      <c r="F59" t="s">
        <v>807</v>
      </c>
      <c r="G59" t="s">
        <v>476</v>
      </c>
      <c r="H59" t="s">
        <v>477</v>
      </c>
      <c r="I59" t="s">
        <v>223</v>
      </c>
      <c r="J59">
        <v>2021</v>
      </c>
      <c r="K59">
        <v>2022</v>
      </c>
      <c r="L59" t="s">
        <v>820</v>
      </c>
      <c r="M59" t="s">
        <v>479</v>
      </c>
      <c r="Q59" t="s">
        <v>817</v>
      </c>
      <c r="T59">
        <v>1</v>
      </c>
      <c r="U59" t="s">
        <v>183</v>
      </c>
      <c r="V59" t="s">
        <v>821</v>
      </c>
      <c r="W59" t="s">
        <v>818</v>
      </c>
      <c r="Z59">
        <v>1070</v>
      </c>
      <c r="AE59" t="s">
        <v>225</v>
      </c>
      <c r="AM59" s="441">
        <v>16.173819000491299</v>
      </c>
      <c r="AN59" s="441">
        <v>0</v>
      </c>
      <c r="AO59" s="441">
        <v>16.173819000491299</v>
      </c>
      <c r="AP59" s="441">
        <v>164.54910087650001</v>
      </c>
      <c r="AQ59" s="441">
        <v>32</v>
      </c>
      <c r="AR59" s="441">
        <v>196.54910087650001</v>
      </c>
      <c r="AS59">
        <v>0</v>
      </c>
      <c r="AT59">
        <v>0</v>
      </c>
      <c r="AU59">
        <v>0</v>
      </c>
      <c r="AV59">
        <v>2.5801424922995201E-2</v>
      </c>
      <c r="AW59">
        <v>3.2855933588840002E-8</v>
      </c>
      <c r="AX59">
        <v>9.8710305522493394E-2</v>
      </c>
      <c r="AY59">
        <v>1.8396857725593301E-3</v>
      </c>
      <c r="AZ59">
        <v>0</v>
      </c>
      <c r="BA59">
        <v>0</v>
      </c>
      <c r="BB59">
        <v>0</v>
      </c>
      <c r="BC59">
        <v>0</v>
      </c>
      <c r="BD59">
        <v>0</v>
      </c>
      <c r="BE59">
        <v>1.34953260123176E-2</v>
      </c>
      <c r="BF59">
        <v>10.804630559033599</v>
      </c>
      <c r="BG59">
        <v>6.9532711250395202E-2</v>
      </c>
      <c r="BH59">
        <v>10.7301889734875</v>
      </c>
      <c r="BI59">
        <v>4.9088742957237898E-3</v>
      </c>
      <c r="BL59">
        <v>5.0109317271282896E-3</v>
      </c>
      <c r="BM59">
        <v>5.0109317271282896E-3</v>
      </c>
      <c r="BN59">
        <v>5.1739027089606301E-2</v>
      </c>
      <c r="BS59">
        <v>6.8801519999999999E-14</v>
      </c>
      <c r="BT59">
        <v>1.8024673709626099E-2</v>
      </c>
      <c r="BU59">
        <v>202.93852262238701</v>
      </c>
      <c r="BV59">
        <v>1.43775862365682E-6</v>
      </c>
      <c r="BW59">
        <v>7.4354533540411105E-2</v>
      </c>
    </row>
    <row r="60" spans="1:76" x14ac:dyDescent="0.25">
      <c r="A60" t="s">
        <v>760</v>
      </c>
      <c r="B60" t="s">
        <v>473</v>
      </c>
      <c r="C60" t="s">
        <v>761</v>
      </c>
      <c r="D60" t="s">
        <v>762</v>
      </c>
      <c r="E60" t="s">
        <v>763</v>
      </c>
      <c r="F60" t="s">
        <v>764</v>
      </c>
      <c r="G60" t="s">
        <v>476</v>
      </c>
      <c r="H60" t="s">
        <v>477</v>
      </c>
      <c r="I60" t="s">
        <v>223</v>
      </c>
      <c r="J60">
        <v>2021</v>
      </c>
      <c r="K60">
        <v>2022</v>
      </c>
      <c r="L60" t="s">
        <v>765</v>
      </c>
      <c r="M60" t="s">
        <v>479</v>
      </c>
      <c r="Q60" t="s">
        <v>760</v>
      </c>
      <c r="T60">
        <v>1</v>
      </c>
      <c r="U60" t="s">
        <v>183</v>
      </c>
      <c r="V60" t="s">
        <v>766</v>
      </c>
      <c r="W60" t="s">
        <v>767</v>
      </c>
      <c r="Z60">
        <v>400</v>
      </c>
      <c r="AE60" t="s">
        <v>225</v>
      </c>
      <c r="AM60" s="441">
        <v>8.1599613085979694</v>
      </c>
      <c r="AN60" s="441">
        <v>0</v>
      </c>
      <c r="AO60" s="441">
        <v>8.1599613085979694</v>
      </c>
      <c r="AP60" s="441">
        <v>69.041122543632099</v>
      </c>
      <c r="AQ60" s="441">
        <v>43</v>
      </c>
      <c r="AR60" s="441">
        <v>112.041122543632</v>
      </c>
      <c r="AS60">
        <v>0</v>
      </c>
      <c r="AT60">
        <v>0</v>
      </c>
      <c r="AU60">
        <v>0</v>
      </c>
      <c r="AV60">
        <v>1.4210477064380901E-2</v>
      </c>
      <c r="AW60">
        <v>2.0334819526099999E-7</v>
      </c>
      <c r="AX60">
        <v>6.7693542188757699E-2</v>
      </c>
      <c r="AY60">
        <v>1.0122696700566401E-3</v>
      </c>
      <c r="AZ60">
        <v>0</v>
      </c>
      <c r="BA60">
        <v>0</v>
      </c>
      <c r="BB60">
        <v>0</v>
      </c>
      <c r="BC60">
        <v>0</v>
      </c>
      <c r="BD60">
        <v>0</v>
      </c>
      <c r="BE60">
        <v>4.9217358467159196E-3</v>
      </c>
      <c r="BF60">
        <v>4.3516526209559796</v>
      </c>
      <c r="BG60">
        <v>3.3170191143509102E-2</v>
      </c>
      <c r="BH60">
        <v>4.3157446106640904</v>
      </c>
      <c r="BI60">
        <v>2.73781914838871E-3</v>
      </c>
      <c r="BL60">
        <v>1.60326869470039E-3</v>
      </c>
      <c r="BM60">
        <v>1.60326869470039E-3</v>
      </c>
      <c r="BN60">
        <v>1.7087804076803902E-2</v>
      </c>
      <c r="BS60">
        <v>3.2819719999999999E-14</v>
      </c>
      <c r="BT60">
        <v>4.9353214755198599E-3</v>
      </c>
      <c r="BU60">
        <v>116.33399856878501</v>
      </c>
      <c r="BV60">
        <v>1.5681679112006901E-6</v>
      </c>
      <c r="BW60">
        <v>-0.14324993864092</v>
      </c>
    </row>
    <row r="61" spans="1:76" x14ac:dyDescent="0.25">
      <c r="A61" t="s">
        <v>684</v>
      </c>
      <c r="B61" t="s">
        <v>685</v>
      </c>
      <c r="C61" t="s">
        <v>686</v>
      </c>
      <c r="D61" t="s">
        <v>687</v>
      </c>
      <c r="E61" t="s">
        <v>688</v>
      </c>
      <c r="F61" t="s">
        <v>689</v>
      </c>
      <c r="G61" t="s">
        <v>229</v>
      </c>
      <c r="H61" t="s">
        <v>477</v>
      </c>
      <c r="I61" t="s">
        <v>230</v>
      </c>
      <c r="J61">
        <v>2021</v>
      </c>
      <c r="K61">
        <v>2024</v>
      </c>
      <c r="L61" t="s">
        <v>690</v>
      </c>
      <c r="M61" t="s">
        <v>691</v>
      </c>
      <c r="N61" s="132">
        <v>44452</v>
      </c>
      <c r="O61" t="s">
        <v>692</v>
      </c>
      <c r="P61" t="s">
        <v>544</v>
      </c>
      <c r="T61">
        <v>1</v>
      </c>
      <c r="U61" t="s">
        <v>231</v>
      </c>
      <c r="V61" t="s">
        <v>693</v>
      </c>
      <c r="W61" t="s">
        <v>694</v>
      </c>
      <c r="Z61">
        <v>48.35</v>
      </c>
      <c r="AE61" t="s">
        <v>225</v>
      </c>
      <c r="AF61" s="441">
        <v>277.61449206973299</v>
      </c>
      <c r="AG61" s="441">
        <v>4.9992487430299002E-5</v>
      </c>
      <c r="AH61" s="441">
        <v>6.3371295787078605E-2</v>
      </c>
      <c r="AI61" s="441">
        <v>1.4875697927273399</v>
      </c>
      <c r="AJ61" s="441">
        <v>1.4626095201343099</v>
      </c>
      <c r="AK61" s="441">
        <v>1.2229066830443501E-2</v>
      </c>
      <c r="AL61" s="441">
        <v>4786.2617352665602</v>
      </c>
      <c r="AM61" s="441">
        <v>547.16746461659</v>
      </c>
      <c r="AN61" s="441">
        <v>53.455264395407802</v>
      </c>
      <c r="AO61" s="441">
        <v>600.62272901199799</v>
      </c>
      <c r="AP61" s="441">
        <v>1131.0506066627299</v>
      </c>
      <c r="AQ61" s="441">
        <v>3905.28628713433</v>
      </c>
      <c r="AR61" s="441">
        <v>5036.6839549100196</v>
      </c>
      <c r="AS61">
        <v>1.87697293556053</v>
      </c>
      <c r="AT61">
        <v>5.2015111092129996E-6</v>
      </c>
      <c r="AU61">
        <v>0</v>
      </c>
      <c r="AV61">
        <v>5.8923717899578101</v>
      </c>
      <c r="AW61">
        <v>6.2150615987209001E-2</v>
      </c>
      <c r="AX61">
        <v>116.5312090038</v>
      </c>
      <c r="AY61">
        <v>2.6576580794696401E-2</v>
      </c>
      <c r="AZ61">
        <v>0</v>
      </c>
      <c r="BA61">
        <v>4.1308251281711402E-4</v>
      </c>
      <c r="BB61">
        <v>1.760466858E-11</v>
      </c>
      <c r="BC61">
        <v>0</v>
      </c>
      <c r="BD61">
        <v>0</v>
      </c>
    </row>
    <row r="62" spans="1:76" x14ac:dyDescent="0.25">
      <c r="A62" t="s">
        <v>696</v>
      </c>
      <c r="B62" t="s">
        <v>473</v>
      </c>
      <c r="C62" t="s">
        <v>697</v>
      </c>
      <c r="D62" t="s">
        <v>698</v>
      </c>
      <c r="E62" t="s">
        <v>699</v>
      </c>
      <c r="F62" t="s">
        <v>700</v>
      </c>
      <c r="G62" t="s">
        <v>476</v>
      </c>
      <c r="H62" t="s">
        <v>477</v>
      </c>
      <c r="I62" t="s">
        <v>223</v>
      </c>
      <c r="J62">
        <v>2021</v>
      </c>
      <c r="K62">
        <v>2022</v>
      </c>
      <c r="L62" t="s">
        <v>701</v>
      </c>
      <c r="M62" t="s">
        <v>479</v>
      </c>
      <c r="Q62" t="s">
        <v>696</v>
      </c>
      <c r="T62">
        <v>1</v>
      </c>
      <c r="U62" t="s">
        <v>183</v>
      </c>
      <c r="V62" t="s">
        <v>702</v>
      </c>
      <c r="W62" t="s">
        <v>703</v>
      </c>
      <c r="Z62">
        <v>1100</v>
      </c>
      <c r="AE62" t="s">
        <v>225</v>
      </c>
      <c r="AM62" s="441">
        <v>66.182737864309601</v>
      </c>
      <c r="AN62" s="441">
        <v>0</v>
      </c>
      <c r="AO62" s="441">
        <v>66.182737864309601</v>
      </c>
      <c r="AP62" s="441">
        <v>119.573953966185</v>
      </c>
      <c r="AQ62" s="441">
        <v>18</v>
      </c>
      <c r="AR62" s="441">
        <v>137.573953966185</v>
      </c>
      <c r="AS62">
        <v>0</v>
      </c>
      <c r="AT62">
        <v>0</v>
      </c>
      <c r="AU62">
        <v>0</v>
      </c>
      <c r="AV62">
        <v>9.2422889169452793E-2</v>
      </c>
      <c r="AW62">
        <v>1.4255519987081999E-7</v>
      </c>
      <c r="AX62">
        <v>1.92207990096037</v>
      </c>
      <c r="AY62">
        <v>5.0304085149975803E-3</v>
      </c>
      <c r="AZ62">
        <v>0</v>
      </c>
      <c r="BA62">
        <v>0</v>
      </c>
      <c r="BB62">
        <v>0</v>
      </c>
      <c r="BC62">
        <v>0</v>
      </c>
      <c r="BD62">
        <v>0</v>
      </c>
      <c r="BE62">
        <v>2.82274873470966E-2</v>
      </c>
      <c r="BF62">
        <v>9.1556129150351904</v>
      </c>
      <c r="BG62">
        <v>2.3131228316713198E-3</v>
      </c>
      <c r="BH62">
        <v>9.1390811193735395</v>
      </c>
      <c r="BI62">
        <v>1.4218672829977699E-2</v>
      </c>
      <c r="BL62">
        <v>6.5157187782140099E-3</v>
      </c>
      <c r="BM62">
        <v>6.5157187782140099E-3</v>
      </c>
      <c r="BN62">
        <v>7.0824423872379597E-2</v>
      </c>
      <c r="BS62">
        <v>8.6900190000000004E-14</v>
      </c>
      <c r="BT62">
        <v>2.2310844512095401E-2</v>
      </c>
      <c r="BU62">
        <v>141.13872181422801</v>
      </c>
      <c r="BV62">
        <v>1.64451750751188E-4</v>
      </c>
      <c r="BW62">
        <v>1.38668377450642</v>
      </c>
    </row>
    <row r="63" spans="1:76" x14ac:dyDescent="0.25">
      <c r="A63" t="s">
        <v>704</v>
      </c>
      <c r="B63" t="s">
        <v>473</v>
      </c>
      <c r="C63" t="s">
        <v>705</v>
      </c>
      <c r="D63" t="s">
        <v>706</v>
      </c>
      <c r="E63" t="s">
        <v>707</v>
      </c>
      <c r="F63" t="s">
        <v>708</v>
      </c>
      <c r="G63" t="s">
        <v>476</v>
      </c>
      <c r="H63" t="s">
        <v>477</v>
      </c>
      <c r="I63" t="s">
        <v>223</v>
      </c>
      <c r="J63">
        <v>2021</v>
      </c>
      <c r="K63">
        <v>2022</v>
      </c>
      <c r="L63" t="s">
        <v>709</v>
      </c>
      <c r="M63" t="s">
        <v>479</v>
      </c>
      <c r="Q63" t="s">
        <v>704</v>
      </c>
      <c r="T63">
        <v>1</v>
      </c>
      <c r="U63" t="s">
        <v>183</v>
      </c>
      <c r="V63" t="s">
        <v>710</v>
      </c>
      <c r="W63" t="s">
        <v>705</v>
      </c>
      <c r="Z63">
        <v>7850</v>
      </c>
      <c r="AE63" t="s">
        <v>225</v>
      </c>
      <c r="AM63" s="441">
        <v>3.75258072057711</v>
      </c>
      <c r="AN63" s="441">
        <v>0</v>
      </c>
      <c r="AO63" s="441">
        <v>3.75258072057711</v>
      </c>
      <c r="AP63" s="441">
        <v>10.718375656085501</v>
      </c>
      <c r="AQ63" s="441">
        <v>0</v>
      </c>
      <c r="AR63" s="441">
        <v>10.718375656085501</v>
      </c>
      <c r="AS63">
        <v>0.88275999999999999</v>
      </c>
      <c r="AT63">
        <v>0</v>
      </c>
      <c r="AU63">
        <v>0</v>
      </c>
      <c r="AV63">
        <v>2.2539390065785098E-3</v>
      </c>
      <c r="AW63">
        <v>2.4822888094E-9</v>
      </c>
      <c r="AX63">
        <v>7.22602311088441E-3</v>
      </c>
      <c r="AY63">
        <v>4.0722525101895702E-4</v>
      </c>
      <c r="AZ63">
        <v>0</v>
      </c>
      <c r="BA63">
        <v>0</v>
      </c>
      <c r="BB63">
        <v>0</v>
      </c>
      <c r="BC63">
        <v>0</v>
      </c>
      <c r="BD63">
        <v>0</v>
      </c>
      <c r="BE63">
        <v>2.1963050586263399E-3</v>
      </c>
      <c r="BF63">
        <v>0.96439507333008201</v>
      </c>
      <c r="BG63">
        <v>4.8358266941865803E-3</v>
      </c>
      <c r="BH63">
        <v>0.95840063051695001</v>
      </c>
      <c r="BI63">
        <v>1.15861611894579E-3</v>
      </c>
      <c r="BL63">
        <v>5.3947509986707303E-4</v>
      </c>
      <c r="BM63">
        <v>5.3947509986707303E-4</v>
      </c>
      <c r="BN63">
        <v>5.7854265817149503E-3</v>
      </c>
      <c r="BS63">
        <v>1.5945440000000001E-14</v>
      </c>
      <c r="BT63">
        <v>1.8671148168218599E-3</v>
      </c>
      <c r="BU63">
        <v>10.685616550460001</v>
      </c>
      <c r="BV63">
        <v>2.3132016503645E-7</v>
      </c>
      <c r="BW63">
        <v>-2.26491310347626E-3</v>
      </c>
    </row>
    <row r="64" spans="1:76" x14ac:dyDescent="0.25">
      <c r="A64" t="s">
        <v>749</v>
      </c>
      <c r="B64" t="s">
        <v>685</v>
      </c>
      <c r="C64" t="s">
        <v>750</v>
      </c>
      <c r="D64" t="s">
        <v>987</v>
      </c>
      <c r="E64" t="s">
        <v>751</v>
      </c>
      <c r="F64" t="s">
        <v>752</v>
      </c>
      <c r="G64" t="s">
        <v>229</v>
      </c>
      <c r="H64" t="s">
        <v>753</v>
      </c>
      <c r="I64" t="s">
        <v>230</v>
      </c>
      <c r="J64">
        <v>2019</v>
      </c>
      <c r="K64">
        <v>2024</v>
      </c>
      <c r="L64" t="s">
        <v>754</v>
      </c>
      <c r="M64" t="s">
        <v>755</v>
      </c>
      <c r="O64">
        <v>10999</v>
      </c>
      <c r="P64" t="s">
        <v>544</v>
      </c>
      <c r="T64">
        <v>1</v>
      </c>
      <c r="U64" t="s">
        <v>183</v>
      </c>
      <c r="V64" t="s">
        <v>756</v>
      </c>
      <c r="W64" t="s">
        <v>757</v>
      </c>
      <c r="Z64">
        <v>2700</v>
      </c>
      <c r="AD64">
        <v>1</v>
      </c>
      <c r="AE64" t="s">
        <v>225</v>
      </c>
      <c r="AF64" s="441">
        <v>8.5890000000000004</v>
      </c>
      <c r="AG64" s="441">
        <v>4.1670000000000002E-10</v>
      </c>
      <c r="AH64" s="441">
        <v>2.1900000000000001E-3</v>
      </c>
      <c r="AI64" s="441">
        <v>3.9489999999999997E-2</v>
      </c>
      <c r="AJ64" s="441">
        <v>2.6879999999999999E-3</v>
      </c>
      <c r="AK64" s="441">
        <v>1.2639999999999999E-5</v>
      </c>
      <c r="AL64" s="441">
        <v>97.55</v>
      </c>
      <c r="AM64" s="441">
        <v>42.365227973382098</v>
      </c>
      <c r="AN64" s="441">
        <v>0.29477202661791302</v>
      </c>
      <c r="AO64" s="441">
        <v>42.66</v>
      </c>
      <c r="AP64" s="441">
        <v>112.653479220728</v>
      </c>
      <c r="AQ64" s="441">
        <v>4.6520779271758197E-2</v>
      </c>
      <c r="AR64" s="441">
        <v>112.7</v>
      </c>
      <c r="AS64">
        <v>0.23</v>
      </c>
      <c r="AT64">
        <v>0</v>
      </c>
      <c r="AU64">
        <v>0</v>
      </c>
      <c r="AV64">
        <v>0.1017</v>
      </c>
      <c r="AW64">
        <v>8.5630000000000005E-4</v>
      </c>
      <c r="AX64">
        <v>2.2000000000000002</v>
      </c>
      <c r="AY64">
        <v>5.986E-3</v>
      </c>
      <c r="AZ64">
        <v>0</v>
      </c>
      <c r="BA64">
        <v>0</v>
      </c>
      <c r="BB64">
        <v>0</v>
      </c>
      <c r="BC64">
        <v>0</v>
      </c>
      <c r="BD64">
        <v>0</v>
      </c>
    </row>
    <row r="65" spans="1:76" x14ac:dyDescent="0.25">
      <c r="A65" t="s">
        <v>872</v>
      </c>
      <c r="B65" t="s">
        <v>873</v>
      </c>
      <c r="C65" t="s">
        <v>874</v>
      </c>
      <c r="D65" t="s">
        <v>875</v>
      </c>
      <c r="E65" t="s">
        <v>876</v>
      </c>
      <c r="F65" t="s">
        <v>877</v>
      </c>
      <c r="G65" t="s">
        <v>878</v>
      </c>
      <c r="H65" t="s">
        <v>879</v>
      </c>
      <c r="I65" t="s">
        <v>262</v>
      </c>
      <c r="J65">
        <v>2020</v>
      </c>
      <c r="K65">
        <v>2025</v>
      </c>
      <c r="L65" s="199" t="s">
        <v>880</v>
      </c>
      <c r="M65" t="s">
        <v>881</v>
      </c>
      <c r="N65" s="132">
        <v>43977</v>
      </c>
      <c r="O65" t="s">
        <v>882</v>
      </c>
      <c r="P65" t="s">
        <v>883</v>
      </c>
      <c r="T65">
        <v>1</v>
      </c>
      <c r="U65" t="s">
        <v>224</v>
      </c>
      <c r="V65" t="s">
        <v>884</v>
      </c>
      <c r="W65" t="s">
        <v>885</v>
      </c>
      <c r="Y65">
        <v>45.5</v>
      </c>
      <c r="AA65">
        <v>0.09</v>
      </c>
      <c r="AE65" t="s">
        <v>225</v>
      </c>
      <c r="AF65" s="441">
        <v>462.707839533021</v>
      </c>
      <c r="AG65" s="441">
        <v>2.20033385802852E-5</v>
      </c>
      <c r="AH65" s="441">
        <v>0.23812416007345699</v>
      </c>
      <c r="AI65" s="441">
        <v>2.5376231811717198</v>
      </c>
      <c r="AJ65" s="441">
        <v>0.85736429380169199</v>
      </c>
      <c r="AK65" s="441">
        <v>2.8104896547712699E-2</v>
      </c>
      <c r="AL65" s="441">
        <v>5265.0933370614302</v>
      </c>
      <c r="AM65" s="441">
        <v>558.22946034063705</v>
      </c>
      <c r="AN65" s="441">
        <v>0</v>
      </c>
      <c r="AO65" s="441">
        <v>558.22946034063705</v>
      </c>
      <c r="AP65" s="441">
        <v>5337.1020428593101</v>
      </c>
      <c r="AQ65" s="441">
        <v>476.791264515416</v>
      </c>
      <c r="AR65" s="441">
        <v>5813.8933073747203</v>
      </c>
      <c r="AS65">
        <v>12.5171009209781</v>
      </c>
      <c r="AT65">
        <v>0</v>
      </c>
      <c r="AU65">
        <v>0</v>
      </c>
      <c r="AW65">
        <v>0.13868317924899501</v>
      </c>
      <c r="AX65">
        <v>68.956732150007497</v>
      </c>
      <c r="AY65">
        <v>2.3161086964776301E-2</v>
      </c>
      <c r="AZ65">
        <v>0</v>
      </c>
      <c r="BA65">
        <v>0</v>
      </c>
      <c r="BB65">
        <v>0</v>
      </c>
      <c r="BC65">
        <v>0</v>
      </c>
      <c r="BD65">
        <v>0</v>
      </c>
      <c r="BX65" t="s">
        <v>886</v>
      </c>
    </row>
    <row r="66" spans="1:76" x14ac:dyDescent="0.25">
      <c r="A66" s="268" t="s">
        <v>839</v>
      </c>
      <c r="B66" t="s">
        <v>473</v>
      </c>
      <c r="C66" t="s">
        <v>840</v>
      </c>
      <c r="D66" t="s">
        <v>841</v>
      </c>
      <c r="E66" t="s">
        <v>842</v>
      </c>
      <c r="F66" t="s">
        <v>843</v>
      </c>
      <c r="G66" t="s">
        <v>476</v>
      </c>
      <c r="H66" t="s">
        <v>477</v>
      </c>
      <c r="I66" t="s">
        <v>223</v>
      </c>
      <c r="J66">
        <v>2021</v>
      </c>
      <c r="K66">
        <v>2022</v>
      </c>
      <c r="L66" s="199" t="s">
        <v>844</v>
      </c>
      <c r="M66" t="s">
        <v>479</v>
      </c>
      <c r="Q66" s="268" t="s">
        <v>839</v>
      </c>
      <c r="T66">
        <v>0.99999999999999301</v>
      </c>
      <c r="U66" t="s">
        <v>681</v>
      </c>
      <c r="V66" t="s">
        <v>845</v>
      </c>
      <c r="W66" t="s">
        <v>846</v>
      </c>
      <c r="AC66">
        <v>2.11</v>
      </c>
      <c r="AE66" t="s">
        <v>225</v>
      </c>
      <c r="AM66" s="441">
        <v>50.060871250330699</v>
      </c>
      <c r="AN66" s="441">
        <v>38</v>
      </c>
      <c r="AO66" s="441">
        <v>88.060871250330706</v>
      </c>
      <c r="AP66" s="441">
        <v>57.617704743750103</v>
      </c>
      <c r="AQ66" s="441">
        <v>0</v>
      </c>
      <c r="AR66" s="441">
        <v>57.617704743750103</v>
      </c>
      <c r="AS66">
        <v>0</v>
      </c>
      <c r="AT66">
        <v>0</v>
      </c>
      <c r="AU66">
        <v>0</v>
      </c>
      <c r="AV66">
        <v>1.5171901623771401E-2</v>
      </c>
      <c r="AW66">
        <v>-6.2896052261199999E-9</v>
      </c>
      <c r="AX66">
        <v>0.33216544521418701</v>
      </c>
      <c r="AY66">
        <v>3.0729310646800201E-3</v>
      </c>
      <c r="AZ66">
        <v>0</v>
      </c>
      <c r="BA66">
        <v>0</v>
      </c>
      <c r="BB66">
        <v>0</v>
      </c>
      <c r="BC66">
        <v>0</v>
      </c>
      <c r="BD66">
        <v>0</v>
      </c>
      <c r="BE66">
        <v>1.14151085540827E-2</v>
      </c>
      <c r="BF66">
        <v>0.31773084476390401</v>
      </c>
      <c r="BG66">
        <v>-3.8890060465916698</v>
      </c>
      <c r="BH66">
        <v>4.1964643852302403</v>
      </c>
      <c r="BI66">
        <v>1.02725061253313E-2</v>
      </c>
      <c r="BL66">
        <v>3.7139699376103402E-3</v>
      </c>
      <c r="BM66">
        <v>3.7139699376103402E-3</v>
      </c>
      <c r="BN66">
        <v>4.0201514660843499E-2</v>
      </c>
      <c r="BS66">
        <v>9.4674760000000003E-14</v>
      </c>
      <c r="BT66">
        <v>2.62064395014001E-2</v>
      </c>
      <c r="BU66">
        <v>57.599424509414298</v>
      </c>
      <c r="BV66">
        <v>1.87699976137918E-5</v>
      </c>
      <c r="BW66">
        <v>9.2445218585923306E-2</v>
      </c>
      <c r="BX66" t="s">
        <v>865</v>
      </c>
    </row>
    <row r="67" spans="1:76" x14ac:dyDescent="0.25">
      <c r="A67" t="s">
        <v>847</v>
      </c>
      <c r="B67" t="s">
        <v>473</v>
      </c>
      <c r="C67" t="s">
        <v>848</v>
      </c>
      <c r="D67" t="s">
        <v>849</v>
      </c>
      <c r="E67" t="s">
        <v>842</v>
      </c>
      <c r="F67" t="s">
        <v>843</v>
      </c>
      <c r="G67" t="s">
        <v>476</v>
      </c>
      <c r="H67" t="s">
        <v>477</v>
      </c>
      <c r="I67" t="s">
        <v>223</v>
      </c>
      <c r="J67">
        <v>2021</v>
      </c>
      <c r="K67">
        <v>2022</v>
      </c>
      <c r="L67" s="199" t="s">
        <v>850</v>
      </c>
      <c r="M67" t="s">
        <v>479</v>
      </c>
      <c r="Q67" t="s">
        <v>847</v>
      </c>
      <c r="T67">
        <v>1</v>
      </c>
      <c r="U67" t="s">
        <v>681</v>
      </c>
      <c r="V67" t="s">
        <v>851</v>
      </c>
      <c r="W67" t="s">
        <v>852</v>
      </c>
      <c r="AC67">
        <v>2.11</v>
      </c>
      <c r="AE67" t="s">
        <v>225</v>
      </c>
      <c r="AM67" s="441">
        <v>49.716220637522703</v>
      </c>
      <c r="AN67" s="441">
        <v>38</v>
      </c>
      <c r="AO67" s="441">
        <v>87.716220637522696</v>
      </c>
      <c r="AP67" s="441">
        <v>53.775638405007001</v>
      </c>
      <c r="AQ67" s="441">
        <v>0</v>
      </c>
      <c r="AR67" s="441">
        <v>53.775638405007001</v>
      </c>
      <c r="AS67">
        <v>0</v>
      </c>
      <c r="AT67">
        <v>0</v>
      </c>
      <c r="AU67">
        <v>0</v>
      </c>
      <c r="AV67">
        <v>1.4385833354347399E-2</v>
      </c>
      <c r="AW67">
        <v>-6.88439913701E-9</v>
      </c>
      <c r="AX67">
        <v>0.27021258464626702</v>
      </c>
      <c r="AY67">
        <v>3.0265343192485798E-3</v>
      </c>
      <c r="AZ67">
        <v>0</v>
      </c>
      <c r="BA67">
        <v>0</v>
      </c>
      <c r="BB67">
        <v>0</v>
      </c>
      <c r="BC67">
        <v>0</v>
      </c>
      <c r="BD67">
        <v>0</v>
      </c>
      <c r="BE67">
        <v>1.0810215396839601E-2</v>
      </c>
      <c r="BF67">
        <v>7.2539157390630493E-2</v>
      </c>
      <c r="BG67">
        <v>-3.8864403049292702</v>
      </c>
      <c r="BH67">
        <v>3.9501957928108098</v>
      </c>
      <c r="BI67">
        <v>8.7836695090943995E-3</v>
      </c>
      <c r="BL67">
        <v>3.5752549368595001E-3</v>
      </c>
      <c r="BM67">
        <v>3.5752549368595001E-3</v>
      </c>
      <c r="BN67">
        <v>3.8614731970948502E-2</v>
      </c>
      <c r="BS67">
        <v>9.3053650000000004E-14</v>
      </c>
      <c r="BT67">
        <v>2.59806180995347E-2</v>
      </c>
      <c r="BU67">
        <v>53.758679950500898</v>
      </c>
      <c r="BV67">
        <v>1.79016622339725E-5</v>
      </c>
      <c r="BW67">
        <v>8.1234538464231801E-2</v>
      </c>
      <c r="BX67" t="s">
        <v>865</v>
      </c>
    </row>
    <row r="68" spans="1:76" x14ac:dyDescent="0.25">
      <c r="A68" t="s">
        <v>711</v>
      </c>
      <c r="B68" t="s">
        <v>473</v>
      </c>
      <c r="C68" t="s">
        <v>712</v>
      </c>
      <c r="D68" t="s">
        <v>713</v>
      </c>
      <c r="E68" t="s">
        <v>714</v>
      </c>
      <c r="F68" t="s">
        <v>715</v>
      </c>
      <c r="G68" t="s">
        <v>476</v>
      </c>
      <c r="H68" t="s">
        <v>477</v>
      </c>
      <c r="I68" t="s">
        <v>223</v>
      </c>
      <c r="J68">
        <v>2021</v>
      </c>
      <c r="K68">
        <v>2022</v>
      </c>
      <c r="L68" t="s">
        <v>716</v>
      </c>
      <c r="M68" t="s">
        <v>479</v>
      </c>
      <c r="Q68" t="s">
        <v>711</v>
      </c>
      <c r="T68">
        <v>1</v>
      </c>
      <c r="U68" t="s">
        <v>183</v>
      </c>
      <c r="V68" t="s">
        <v>717</v>
      </c>
      <c r="W68" t="s">
        <v>718</v>
      </c>
      <c r="AE68" t="s">
        <v>225</v>
      </c>
      <c r="AM68" s="441">
        <v>7.4015505520978202</v>
      </c>
      <c r="AN68" s="441">
        <v>0</v>
      </c>
      <c r="AO68" s="441">
        <v>7.4015505520978202</v>
      </c>
      <c r="AP68" s="441">
        <v>34.663038175743601</v>
      </c>
      <c r="AQ68" s="441">
        <v>7.5</v>
      </c>
      <c r="AR68" s="441">
        <v>42.163038175743601</v>
      </c>
      <c r="AS68">
        <v>0</v>
      </c>
      <c r="AT68">
        <v>0</v>
      </c>
      <c r="AU68">
        <v>0</v>
      </c>
      <c r="AV68">
        <v>8.2866511938299303E-3</v>
      </c>
      <c r="AW68">
        <v>7.9926290200700007E-9</v>
      </c>
      <c r="AX68">
        <v>0.92321743220126795</v>
      </c>
      <c r="AY68">
        <v>7.6925871153660696E-4</v>
      </c>
      <c r="AZ68">
        <v>0</v>
      </c>
      <c r="BA68">
        <v>0</v>
      </c>
      <c r="BB68">
        <v>0</v>
      </c>
      <c r="BC68">
        <v>0</v>
      </c>
      <c r="BD68">
        <v>0</v>
      </c>
      <c r="BE68">
        <v>1.1212469101620199E-2</v>
      </c>
      <c r="BF68">
        <v>1.81564473147105</v>
      </c>
      <c r="BG68">
        <v>-0.33322265767790099</v>
      </c>
      <c r="BH68">
        <v>2.14667106381301</v>
      </c>
      <c r="BI68">
        <v>2.19632533593728E-3</v>
      </c>
      <c r="BL68">
        <v>1.8638021597611901E-3</v>
      </c>
      <c r="BM68">
        <v>1.8638021597611901E-3</v>
      </c>
      <c r="BN68">
        <v>2.01895343933511E-2</v>
      </c>
      <c r="BS68">
        <v>3.0955330000000003E-14</v>
      </c>
      <c r="BT68">
        <v>6.9768498788455703E-3</v>
      </c>
      <c r="BU68">
        <v>42.895941758382598</v>
      </c>
      <c r="BV68">
        <v>1.33609846678446E-5</v>
      </c>
      <c r="BW68">
        <v>0.156651750951397</v>
      </c>
    </row>
    <row r="69" spans="1:76" x14ac:dyDescent="0.25">
      <c r="A69" t="s">
        <v>719</v>
      </c>
      <c r="B69" t="s">
        <v>473</v>
      </c>
      <c r="C69" t="s">
        <v>720</v>
      </c>
      <c r="D69" t="s">
        <v>721</v>
      </c>
      <c r="E69" t="s">
        <v>714</v>
      </c>
      <c r="F69" t="s">
        <v>715</v>
      </c>
      <c r="G69" t="s">
        <v>476</v>
      </c>
      <c r="H69" t="s">
        <v>477</v>
      </c>
      <c r="I69" t="s">
        <v>223</v>
      </c>
      <c r="J69">
        <v>2021</v>
      </c>
      <c r="K69">
        <v>2022</v>
      </c>
      <c r="L69" t="s">
        <v>722</v>
      </c>
      <c r="M69" t="s">
        <v>479</v>
      </c>
      <c r="Q69" t="s">
        <v>719</v>
      </c>
      <c r="T69">
        <v>1</v>
      </c>
      <c r="U69" t="s">
        <v>183</v>
      </c>
      <c r="V69" t="s">
        <v>717</v>
      </c>
      <c r="W69" t="s">
        <v>718</v>
      </c>
      <c r="AE69" t="s">
        <v>225</v>
      </c>
      <c r="AM69" s="441">
        <v>6.5785964629347298</v>
      </c>
      <c r="AN69" s="441">
        <v>0</v>
      </c>
      <c r="AO69" s="441">
        <v>6.5785964629347298</v>
      </c>
      <c r="AP69" s="441">
        <v>33.729456591546999</v>
      </c>
      <c r="AQ69" s="441">
        <v>7.5</v>
      </c>
      <c r="AR69" s="441">
        <v>41.229456591546999</v>
      </c>
      <c r="AS69">
        <v>0</v>
      </c>
      <c r="AT69">
        <v>0</v>
      </c>
      <c r="AU69">
        <v>0</v>
      </c>
      <c r="AV69">
        <v>8.60832050935228E-3</v>
      </c>
      <c r="AW69">
        <v>7.6983517140099995E-9</v>
      </c>
      <c r="AX69">
        <v>0.79939540461242597</v>
      </c>
      <c r="AY69">
        <v>6.8756328301486803E-4</v>
      </c>
      <c r="AZ69">
        <v>0</v>
      </c>
      <c r="BA69">
        <v>0</v>
      </c>
      <c r="BB69">
        <v>0</v>
      </c>
      <c r="BC69">
        <v>0</v>
      </c>
      <c r="BD69">
        <v>0</v>
      </c>
      <c r="BE69">
        <v>9.9852091108918999E-3</v>
      </c>
      <c r="BF69">
        <v>1.84491256805284</v>
      </c>
      <c r="BG69">
        <v>-0.18624566174927301</v>
      </c>
      <c r="BH69">
        <v>2.0291989351878899</v>
      </c>
      <c r="BI69">
        <v>1.959294614223E-3</v>
      </c>
      <c r="BL69">
        <v>1.6826275513940701E-3</v>
      </c>
      <c r="BM69">
        <v>1.6826275513940701E-3</v>
      </c>
      <c r="BN69">
        <v>1.8443377457825798E-2</v>
      </c>
      <c r="BS69">
        <v>2.749779E-14</v>
      </c>
      <c r="BT69">
        <v>6.16811806765358E-3</v>
      </c>
      <c r="BU69">
        <v>41.963372664263197</v>
      </c>
      <c r="BV69">
        <v>1.1544045607427601E-5</v>
      </c>
      <c r="BW69">
        <v>0.13632943694889799</v>
      </c>
    </row>
    <row r="70" spans="1:76" x14ac:dyDescent="0.25">
      <c r="A70" t="s">
        <v>723</v>
      </c>
      <c r="B70" t="s">
        <v>473</v>
      </c>
      <c r="C70" t="s">
        <v>724</v>
      </c>
      <c r="D70" t="s">
        <v>725</v>
      </c>
      <c r="E70" t="s">
        <v>714</v>
      </c>
      <c r="F70" t="s">
        <v>715</v>
      </c>
      <c r="G70" t="s">
        <v>476</v>
      </c>
      <c r="H70" t="s">
        <v>477</v>
      </c>
      <c r="I70" t="s">
        <v>223</v>
      </c>
      <c r="J70">
        <v>2021</v>
      </c>
      <c r="K70">
        <v>2022</v>
      </c>
      <c r="L70" t="s">
        <v>726</v>
      </c>
      <c r="M70" t="s">
        <v>479</v>
      </c>
      <c r="Q70" t="s">
        <v>723</v>
      </c>
      <c r="T70">
        <v>1</v>
      </c>
      <c r="U70" t="s">
        <v>183</v>
      </c>
      <c r="V70" t="s">
        <v>717</v>
      </c>
      <c r="W70" t="s">
        <v>718</v>
      </c>
      <c r="AE70" t="s">
        <v>225</v>
      </c>
      <c r="AM70" s="441">
        <v>6.5785964629347298</v>
      </c>
      <c r="AN70" s="441">
        <v>0</v>
      </c>
      <c r="AO70" s="441">
        <v>6.5785964629347298</v>
      </c>
      <c r="AP70" s="441">
        <v>33.729456591546999</v>
      </c>
      <c r="AQ70" s="441">
        <v>7.5</v>
      </c>
      <c r="AR70" s="441">
        <v>41.229456591546999</v>
      </c>
      <c r="AS70">
        <v>0</v>
      </c>
      <c r="AT70">
        <v>0</v>
      </c>
      <c r="AU70">
        <v>0</v>
      </c>
      <c r="AV70">
        <v>8.60832050935228E-3</v>
      </c>
      <c r="AW70">
        <v>7.6983517140099995E-9</v>
      </c>
      <c r="AX70">
        <v>0.79939540461242597</v>
      </c>
      <c r="AY70">
        <v>6.8756328301486803E-4</v>
      </c>
      <c r="AZ70">
        <v>0</v>
      </c>
      <c r="BA70">
        <v>0</v>
      </c>
      <c r="BB70">
        <v>0</v>
      </c>
      <c r="BC70">
        <v>0</v>
      </c>
      <c r="BD70">
        <v>0</v>
      </c>
      <c r="BE70">
        <v>9.9852091108918999E-3</v>
      </c>
      <c r="BF70">
        <v>1.84491256805284</v>
      </c>
      <c r="BG70">
        <v>-0.18624566174927301</v>
      </c>
      <c r="BH70">
        <v>2.0291989351878899</v>
      </c>
      <c r="BI70">
        <v>1.959294614223E-3</v>
      </c>
      <c r="BL70">
        <v>1.6826275513940701E-3</v>
      </c>
      <c r="BM70">
        <v>1.6826275513940701E-3</v>
      </c>
      <c r="BN70">
        <v>1.8443377457825798E-2</v>
      </c>
      <c r="BS70">
        <v>2.749779E-14</v>
      </c>
      <c r="BT70">
        <v>6.16811806765358E-3</v>
      </c>
      <c r="BU70">
        <v>41.963372664263197</v>
      </c>
      <c r="BV70">
        <v>1.1544045607427601E-5</v>
      </c>
      <c r="BW70">
        <v>0.13632943694889799</v>
      </c>
    </row>
    <row r="71" spans="1:76" s="20" customFormat="1" x14ac:dyDescent="0.25">
      <c r="AF71" s="267"/>
      <c r="AG71" s="267"/>
      <c r="AH71" s="267"/>
      <c r="AI71" s="267"/>
      <c r="AJ71" s="267"/>
      <c r="AK71" s="267"/>
      <c r="AL71" s="267"/>
      <c r="AM71" s="267"/>
      <c r="AN71" s="267"/>
      <c r="AO71" s="267"/>
      <c r="AP71" s="267"/>
      <c r="AQ71" s="267"/>
      <c r="AR71" s="267"/>
    </row>
    <row r="72" spans="1:76" s="445" customFormat="1" x14ac:dyDescent="0.25"/>
    <row r="73" spans="1:76" s="20" customFormat="1" x14ac:dyDescent="0.25">
      <c r="A73" s="24" t="s">
        <v>1192</v>
      </c>
      <c r="AF73" s="267"/>
      <c r="AG73" s="267"/>
      <c r="AH73" s="267"/>
      <c r="AI73" s="267"/>
      <c r="AJ73" s="267"/>
      <c r="AK73" s="267"/>
      <c r="AL73" s="267"/>
      <c r="AM73" s="267"/>
      <c r="AN73" s="267"/>
      <c r="AO73" s="267"/>
      <c r="AP73" s="267"/>
      <c r="AQ73" s="267"/>
      <c r="AR73" s="267"/>
    </row>
    <row r="74" spans="1:76" s="394" customFormat="1" ht="15" customHeight="1" x14ac:dyDescent="0.25">
      <c r="D74" s="395" t="s">
        <v>1145</v>
      </c>
      <c r="G74" s="395" t="s">
        <v>1146</v>
      </c>
      <c r="J74" s="396">
        <v>2015</v>
      </c>
      <c r="K74" s="394">
        <v>2020</v>
      </c>
      <c r="L74" s="394" t="s">
        <v>1147</v>
      </c>
      <c r="M74" s="395" t="s">
        <v>1148</v>
      </c>
      <c r="P74" s="395" t="s">
        <v>1160</v>
      </c>
      <c r="S74" s="396"/>
      <c r="T74" s="394" t="s">
        <v>1132</v>
      </c>
      <c r="U74" s="394" t="s">
        <v>58</v>
      </c>
      <c r="X74" s="396">
        <v>22</v>
      </c>
      <c r="Z74" s="396">
        <v>22</v>
      </c>
      <c r="AE74" s="394" t="s">
        <v>225</v>
      </c>
      <c r="AF74" s="397">
        <v>1.1931818181818183</v>
      </c>
      <c r="AM74" s="394">
        <v>1.5340909090909096</v>
      </c>
      <c r="AN74" s="394">
        <v>0.4772727272727274</v>
      </c>
      <c r="AO74" s="394">
        <f>AM74+AN74</f>
        <v>2.0113636363636371</v>
      </c>
      <c r="AP74" s="394">
        <v>3.8352272727272734</v>
      </c>
      <c r="AQ74" s="394">
        <v>11.931818181818185</v>
      </c>
      <c r="AR74" s="394">
        <f>AP74+AQ74</f>
        <v>15.767045454545459</v>
      </c>
      <c r="BX74" s="394" t="s">
        <v>1133</v>
      </c>
    </row>
    <row r="75" spans="1:76" s="394" customFormat="1" ht="15" customHeight="1" x14ac:dyDescent="0.25">
      <c r="D75" s="395" t="s">
        <v>1149</v>
      </c>
      <c r="G75" s="395" t="s">
        <v>1150</v>
      </c>
      <c r="H75" s="394" t="s">
        <v>477</v>
      </c>
      <c r="J75" s="396">
        <v>2021</v>
      </c>
      <c r="K75" s="394">
        <v>2026</v>
      </c>
      <c r="L75" s="394" t="s">
        <v>1151</v>
      </c>
      <c r="M75" s="395" t="s">
        <v>1152</v>
      </c>
      <c r="O75" s="395" t="s">
        <v>1153</v>
      </c>
      <c r="S75" s="396">
        <v>3.7499999999999999E-2</v>
      </c>
      <c r="T75" s="394" t="s">
        <v>1132</v>
      </c>
      <c r="U75" s="394" t="s">
        <v>58</v>
      </c>
      <c r="X75" s="396">
        <v>24</v>
      </c>
      <c r="Z75" s="396">
        <v>24</v>
      </c>
      <c r="AE75" s="394" t="s">
        <v>225</v>
      </c>
      <c r="AF75" s="397">
        <v>1.26</v>
      </c>
      <c r="AM75" s="394">
        <v>2.895</v>
      </c>
      <c r="AN75" s="394">
        <v>1.6912499999999999</v>
      </c>
      <c r="AO75" s="394">
        <f>AM75+AN75</f>
        <v>4.5862499999999997</v>
      </c>
      <c r="AP75" s="394">
        <v>19.012499999999999</v>
      </c>
      <c r="AQ75" s="394">
        <v>1.92</v>
      </c>
      <c r="AR75" s="394">
        <f>AP75+AQ75</f>
        <v>20.932499999999997</v>
      </c>
      <c r="BX75" s="394" t="s">
        <v>1133</v>
      </c>
    </row>
    <row r="76" spans="1:76" s="394" customFormat="1" ht="15" customHeight="1" x14ac:dyDescent="0.25">
      <c r="D76" s="395" t="s">
        <v>1127</v>
      </c>
      <c r="G76" s="395" t="s">
        <v>1128</v>
      </c>
      <c r="H76" s="394" t="s">
        <v>1191</v>
      </c>
      <c r="J76" s="394">
        <v>2018</v>
      </c>
      <c r="K76" s="394">
        <v>2024</v>
      </c>
      <c r="L76" s="394" t="s">
        <v>1129</v>
      </c>
      <c r="M76" s="395" t="s">
        <v>1130</v>
      </c>
      <c r="O76" s="395" t="s">
        <v>1131</v>
      </c>
      <c r="T76" s="394" t="s">
        <v>1132</v>
      </c>
      <c r="U76" s="394" t="s">
        <v>58</v>
      </c>
      <c r="X76" s="396">
        <v>40</v>
      </c>
      <c r="Z76" s="396">
        <v>40</v>
      </c>
      <c r="AE76" s="394" t="s">
        <v>225</v>
      </c>
      <c r="AF76" s="397">
        <v>1.31</v>
      </c>
      <c r="AM76" s="394">
        <v>3.88</v>
      </c>
      <c r="AN76" s="394">
        <v>2.29</v>
      </c>
      <c r="AO76" s="394">
        <f>AM76+AN76</f>
        <v>6.17</v>
      </c>
      <c r="AP76" s="394">
        <v>14.999999999999998</v>
      </c>
      <c r="AQ76" s="394">
        <v>2.91</v>
      </c>
      <c r="AR76" s="394">
        <f>AP76+AQ76</f>
        <v>17.909999999999997</v>
      </c>
      <c r="BX76" s="394" t="s">
        <v>1133</v>
      </c>
    </row>
    <row r="77" spans="1:76" s="394" customFormat="1" ht="15" customHeight="1" x14ac:dyDescent="0.25">
      <c r="D77" s="395" t="s">
        <v>1154</v>
      </c>
      <c r="G77" s="395" t="s">
        <v>1150</v>
      </c>
      <c r="H77" s="394" t="s">
        <v>477</v>
      </c>
      <c r="J77" s="396">
        <v>2021</v>
      </c>
      <c r="K77" s="394">
        <v>2026</v>
      </c>
      <c r="L77" s="394" t="s">
        <v>1155</v>
      </c>
      <c r="M77" s="395" t="s">
        <v>1152</v>
      </c>
      <c r="O77" s="395" t="s">
        <v>1156</v>
      </c>
      <c r="S77" s="396">
        <v>3.7499999999999999E-2</v>
      </c>
      <c r="T77" s="394" t="s">
        <v>1132</v>
      </c>
      <c r="U77" s="394" t="s">
        <v>58</v>
      </c>
      <c r="X77" s="396">
        <v>100</v>
      </c>
      <c r="Z77" s="396">
        <v>100</v>
      </c>
      <c r="AE77" s="394" t="s">
        <v>225</v>
      </c>
      <c r="AF77" s="397">
        <v>4.4024999999999999</v>
      </c>
      <c r="AM77" s="394">
        <v>8.1487499999999997</v>
      </c>
      <c r="AN77" s="394">
        <v>5.2387499999999996</v>
      </c>
      <c r="AO77" s="394">
        <f>AM77+AN77</f>
        <v>13.387499999999999</v>
      </c>
      <c r="AP77" s="394">
        <v>52.087499999999999</v>
      </c>
      <c r="AQ77" s="394">
        <v>8.0250000000000004</v>
      </c>
      <c r="AR77" s="394">
        <f>AP77+AQ77</f>
        <v>60.112499999999997</v>
      </c>
      <c r="BX77" s="394" t="s">
        <v>1133</v>
      </c>
    </row>
    <row r="78" spans="1:76" s="394" customFormat="1" ht="15" customHeight="1" x14ac:dyDescent="0.25">
      <c r="A78" s="395"/>
      <c r="D78" s="395" t="s">
        <v>1140</v>
      </c>
      <c r="G78" s="395" t="s">
        <v>1141</v>
      </c>
      <c r="H78" s="394" t="s">
        <v>1191</v>
      </c>
      <c r="J78" s="396">
        <v>2018</v>
      </c>
      <c r="K78" s="394">
        <v>2023</v>
      </c>
      <c r="L78" s="394" t="s">
        <v>1142</v>
      </c>
      <c r="M78" s="395" t="s">
        <v>1143</v>
      </c>
      <c r="O78" s="398" t="s">
        <v>1139</v>
      </c>
      <c r="P78" s="395" t="s">
        <v>1144</v>
      </c>
      <c r="S78" s="396">
        <v>3.9E-2</v>
      </c>
      <c r="T78" s="394" t="s">
        <v>1132</v>
      </c>
      <c r="U78" s="394" t="s">
        <v>58</v>
      </c>
      <c r="X78" s="396">
        <v>122</v>
      </c>
      <c r="Z78" s="396">
        <v>122</v>
      </c>
      <c r="AE78" s="394" t="s">
        <v>225</v>
      </c>
      <c r="AF78" s="397">
        <v>9.36</v>
      </c>
      <c r="AM78" s="394">
        <v>4.3244117647058822</v>
      </c>
      <c r="AN78" s="431">
        <v>0</v>
      </c>
      <c r="AO78" s="394">
        <f>AM78+AN78</f>
        <v>4.3244117647058822</v>
      </c>
      <c r="AP78" s="394">
        <v>113.55882352941177</v>
      </c>
      <c r="AQ78" s="394">
        <v>1.4223529411764706</v>
      </c>
      <c r="AR78" s="394">
        <f>AP78+AQ78</f>
        <v>114.98117647058824</v>
      </c>
      <c r="BX78" s="394" t="s">
        <v>1133</v>
      </c>
    </row>
    <row r="79" spans="1:76" s="394" customFormat="1" ht="15" customHeight="1" x14ac:dyDescent="0.25">
      <c r="D79" s="395" t="s">
        <v>1157</v>
      </c>
      <c r="G79" s="395" t="s">
        <v>1150</v>
      </c>
      <c r="H79" s="394" t="s">
        <v>477</v>
      </c>
      <c r="J79" s="396">
        <v>2021</v>
      </c>
      <c r="K79" s="394">
        <v>2026</v>
      </c>
      <c r="L79" s="394" t="s">
        <v>1158</v>
      </c>
      <c r="M79" s="395" t="s">
        <v>1152</v>
      </c>
      <c r="O79" s="395" t="s">
        <v>1159</v>
      </c>
      <c r="S79" s="396">
        <v>3.7499999999999999E-2</v>
      </c>
      <c r="T79" s="394" t="s">
        <v>1132</v>
      </c>
      <c r="U79" s="394" t="s">
        <v>58</v>
      </c>
      <c r="X79" s="396">
        <v>152</v>
      </c>
      <c r="Z79" s="396">
        <v>152</v>
      </c>
      <c r="AE79" s="394" t="s">
        <v>225</v>
      </c>
      <c r="AF79" s="399">
        <v>6.5025000000000004</v>
      </c>
      <c r="AM79" s="394">
        <v>10.199999999999999</v>
      </c>
      <c r="AN79" s="394">
        <v>6.2625000000000002</v>
      </c>
      <c r="AO79" s="394">
        <f>AM79+AN79</f>
        <v>16.462499999999999</v>
      </c>
      <c r="AP79" s="394">
        <v>69.037499999999994</v>
      </c>
      <c r="AQ79" s="394">
        <v>9.6749999999999989</v>
      </c>
      <c r="AR79" s="394">
        <f>AP79+AQ79</f>
        <v>78.712499999999991</v>
      </c>
      <c r="BX79" s="394" t="s">
        <v>1133</v>
      </c>
    </row>
    <row r="80" spans="1:76" s="394" customFormat="1" ht="15" customHeight="1" x14ac:dyDescent="0.25">
      <c r="A80" s="395"/>
      <c r="D80" s="395" t="s">
        <v>1134</v>
      </c>
      <c r="G80" s="395" t="s">
        <v>1135</v>
      </c>
      <c r="H80" s="394" t="s">
        <v>477</v>
      </c>
      <c r="J80" s="396">
        <v>2018</v>
      </c>
      <c r="K80" s="394">
        <v>2023</v>
      </c>
      <c r="L80" s="394" t="s">
        <v>1136</v>
      </c>
      <c r="M80" s="395" t="s">
        <v>1112</v>
      </c>
      <c r="N80" s="394" t="s">
        <v>1137</v>
      </c>
      <c r="O80" s="395" t="s">
        <v>1138</v>
      </c>
      <c r="S80" s="396">
        <v>4.1000000000000002E-2</v>
      </c>
      <c r="T80" s="394" t="s">
        <v>1132</v>
      </c>
      <c r="U80" s="394" t="s">
        <v>58</v>
      </c>
      <c r="X80" s="396">
        <v>155</v>
      </c>
      <c r="Z80" s="396">
        <v>155</v>
      </c>
      <c r="AE80" s="394" t="s">
        <v>225</v>
      </c>
      <c r="AF80" s="397">
        <v>8.0606000000000009</v>
      </c>
      <c r="AM80" s="394">
        <v>6.5723000000000011</v>
      </c>
      <c r="AN80" s="394">
        <v>4.8502999999999998</v>
      </c>
      <c r="AO80" s="394">
        <f>AM80+AN80</f>
        <v>11.422600000000001</v>
      </c>
      <c r="AP80" s="394">
        <v>59.409000000000006</v>
      </c>
      <c r="AQ80" s="394">
        <v>9.5038</v>
      </c>
      <c r="AR80" s="394">
        <f>AP80+AQ80</f>
        <v>68.912800000000004</v>
      </c>
      <c r="BX80" s="394" t="s">
        <v>1133</v>
      </c>
    </row>
    <row r="81" spans="1:76" s="20" customFormat="1" ht="15" customHeight="1" x14ac:dyDescent="0.25">
      <c r="A81" s="435" t="s">
        <v>130</v>
      </c>
      <c r="L81" s="446"/>
      <c r="AF81" s="267"/>
      <c r="AG81" s="267"/>
      <c r="AH81" s="267"/>
      <c r="AI81" s="267"/>
      <c r="AJ81" s="267"/>
      <c r="AK81" s="267"/>
      <c r="AL81" s="267"/>
      <c r="AM81" s="267"/>
      <c r="AN81" s="267"/>
      <c r="AO81" s="267"/>
      <c r="AP81" s="267"/>
      <c r="AQ81" s="267"/>
      <c r="AR81" s="267"/>
      <c r="BX81" s="394" t="s">
        <v>1133</v>
      </c>
    </row>
    <row r="82" spans="1:76" s="432" customFormat="1" ht="15" customHeight="1" x14ac:dyDescent="0.25">
      <c r="D82" s="433" t="s">
        <v>1161</v>
      </c>
      <c r="G82" s="433" t="s">
        <v>1162</v>
      </c>
      <c r="H82" s="432" t="s">
        <v>1190</v>
      </c>
      <c r="J82" s="434">
        <v>2022</v>
      </c>
      <c r="K82" s="432">
        <v>2027</v>
      </c>
      <c r="L82" s="432" t="s">
        <v>1163</v>
      </c>
      <c r="M82" s="433" t="s">
        <v>1164</v>
      </c>
      <c r="N82" s="432" t="s">
        <v>1165</v>
      </c>
      <c r="O82" s="433">
        <v>132289692502022</v>
      </c>
      <c r="P82" s="432" t="s">
        <v>1166</v>
      </c>
      <c r="S82" s="434">
        <v>0.13</v>
      </c>
      <c r="T82" s="432">
        <v>1</v>
      </c>
      <c r="U82" s="432" t="s">
        <v>184</v>
      </c>
      <c r="X82" s="434">
        <v>616</v>
      </c>
      <c r="Z82" s="434">
        <v>616</v>
      </c>
      <c r="AD82" s="432">
        <f>1/X82</f>
        <v>1.6233766233766235E-3</v>
      </c>
      <c r="AE82" s="432" t="s">
        <v>1167</v>
      </c>
      <c r="AF82" s="440">
        <v>-908.33333333333337</v>
      </c>
      <c r="AM82" s="432">
        <v>2483.3333333333335</v>
      </c>
      <c r="AN82" s="432">
        <v>10583.333333333334</v>
      </c>
      <c r="AO82" s="432">
        <f>AM82+AN82</f>
        <v>13066.666666666668</v>
      </c>
      <c r="AP82" s="432">
        <v>5575</v>
      </c>
      <c r="AQ82" s="432">
        <v>394.16666666666669</v>
      </c>
      <c r="AR82" s="432">
        <f>AP82+AQ82</f>
        <v>5969.166666666667</v>
      </c>
      <c r="BX82" s="394" t="s">
        <v>1133</v>
      </c>
    </row>
    <row r="83" spans="1:76" s="432" customFormat="1" ht="15" customHeight="1" x14ac:dyDescent="0.25">
      <c r="D83" s="433" t="s">
        <v>1168</v>
      </c>
      <c r="G83" s="433" t="s">
        <v>1169</v>
      </c>
      <c r="H83" s="432" t="s">
        <v>1189</v>
      </c>
      <c r="J83" s="434">
        <v>2020</v>
      </c>
      <c r="K83" s="432">
        <v>2025</v>
      </c>
      <c r="L83" s="432" t="s">
        <v>1170</v>
      </c>
      <c r="M83" s="433" t="s">
        <v>1171</v>
      </c>
      <c r="O83" s="433" t="s">
        <v>1172</v>
      </c>
      <c r="P83" s="433" t="s">
        <v>1173</v>
      </c>
      <c r="S83" s="434">
        <v>0.13</v>
      </c>
      <c r="T83" s="432">
        <v>1</v>
      </c>
      <c r="U83" s="432" t="s">
        <v>184</v>
      </c>
      <c r="W83" s="433" t="s">
        <v>1187</v>
      </c>
      <c r="X83" s="434">
        <v>620</v>
      </c>
      <c r="Y83" s="434"/>
      <c r="Z83" s="434">
        <v>620</v>
      </c>
      <c r="AD83" s="432">
        <f t="shared" ref="AD83:AD85" si="3">1/X83</f>
        <v>1.6129032258064516E-3</v>
      </c>
      <c r="AE83" s="432" t="s">
        <v>1167</v>
      </c>
      <c r="AF83" s="440">
        <v>31.535400000000003</v>
      </c>
      <c r="AM83" s="432">
        <v>453.7</v>
      </c>
      <c r="AN83" s="432">
        <v>1885</v>
      </c>
      <c r="AO83" s="432">
        <f t="shared" ref="AO83:AO85" si="4">AM83+AN83</f>
        <v>2338.6999999999998</v>
      </c>
      <c r="AP83" s="432">
        <v>546.78</v>
      </c>
      <c r="AQ83" s="432">
        <v>106.08</v>
      </c>
      <c r="AR83" s="432">
        <f t="shared" ref="AR83:AR85" si="5">AP83+AQ83</f>
        <v>652.86</v>
      </c>
      <c r="BX83" s="394" t="s">
        <v>1133</v>
      </c>
    </row>
    <row r="84" spans="1:76" s="432" customFormat="1" ht="15" customHeight="1" x14ac:dyDescent="0.25">
      <c r="D84" s="433" t="s">
        <v>1174</v>
      </c>
      <c r="G84" s="433" t="s">
        <v>1175</v>
      </c>
      <c r="H84" s="432" t="s">
        <v>1188</v>
      </c>
      <c r="J84" s="434">
        <v>2018</v>
      </c>
      <c r="K84" s="432">
        <v>2023</v>
      </c>
      <c r="L84" s="432" t="s">
        <v>1176</v>
      </c>
      <c r="M84" s="433" t="s">
        <v>1177</v>
      </c>
      <c r="N84" s="432" t="s">
        <v>1178</v>
      </c>
      <c r="O84" s="432" t="s">
        <v>1179</v>
      </c>
      <c r="P84" s="432" t="s">
        <v>1180</v>
      </c>
      <c r="S84" s="434">
        <v>0.13</v>
      </c>
      <c r="T84" s="432">
        <v>1</v>
      </c>
      <c r="U84" s="432" t="s">
        <v>184</v>
      </c>
      <c r="X84" s="434">
        <v>600</v>
      </c>
      <c r="Y84" s="434"/>
      <c r="Z84" s="434">
        <v>600</v>
      </c>
      <c r="AD84" s="432">
        <f t="shared" si="3"/>
        <v>1.6666666666666668E-3</v>
      </c>
      <c r="AE84" s="432" t="s">
        <v>1167</v>
      </c>
      <c r="AF84" s="440">
        <v>-111.96899999999999</v>
      </c>
      <c r="AM84" s="432">
        <v>414.18</v>
      </c>
      <c r="AN84" s="432">
        <v>1378</v>
      </c>
      <c r="AO84" s="432">
        <f t="shared" si="4"/>
        <v>1792.18</v>
      </c>
      <c r="AP84" s="432">
        <v>348.40000000000003</v>
      </c>
      <c r="AQ84" s="432">
        <v>97.76</v>
      </c>
      <c r="AR84" s="432">
        <f t="shared" si="5"/>
        <v>446.16</v>
      </c>
      <c r="BX84" s="394" t="s">
        <v>1133</v>
      </c>
    </row>
    <row r="85" spans="1:76" s="432" customFormat="1" ht="15" customHeight="1" x14ac:dyDescent="0.25">
      <c r="D85" s="433" t="s">
        <v>1181</v>
      </c>
      <c r="G85" s="433" t="s">
        <v>1182</v>
      </c>
      <c r="H85" s="432" t="s">
        <v>477</v>
      </c>
      <c r="J85" s="434">
        <v>2018</v>
      </c>
      <c r="K85" s="432">
        <v>2023</v>
      </c>
      <c r="L85" s="432" t="s">
        <v>1183</v>
      </c>
      <c r="M85" s="433" t="s">
        <v>1181</v>
      </c>
      <c r="N85" s="433" t="s">
        <v>1184</v>
      </c>
      <c r="O85" s="433" t="s">
        <v>1185</v>
      </c>
      <c r="P85" s="432" t="s">
        <v>1186</v>
      </c>
      <c r="S85" s="434">
        <v>0.13</v>
      </c>
      <c r="T85" s="432">
        <v>1</v>
      </c>
      <c r="U85" s="432" t="s">
        <v>184</v>
      </c>
      <c r="X85" s="434">
        <v>610</v>
      </c>
      <c r="Y85" s="434"/>
      <c r="Z85" s="434">
        <v>610</v>
      </c>
      <c r="AD85" s="432">
        <f t="shared" si="3"/>
        <v>1.639344262295082E-3</v>
      </c>
      <c r="AE85" s="432" t="s">
        <v>1167</v>
      </c>
      <c r="AF85" s="399">
        <v>-97.89</v>
      </c>
      <c r="AM85" s="432">
        <v>429</v>
      </c>
      <c r="AN85" s="432">
        <v>1261</v>
      </c>
      <c r="AO85" s="432">
        <f t="shared" si="4"/>
        <v>1690</v>
      </c>
      <c r="AP85" s="432">
        <v>452.40000000000003</v>
      </c>
      <c r="AQ85" s="432">
        <v>119.73</v>
      </c>
      <c r="AR85" s="432">
        <f t="shared" si="5"/>
        <v>572.13</v>
      </c>
      <c r="BX85" s="394" t="s">
        <v>1133</v>
      </c>
    </row>
    <row r="86" spans="1:76" s="20" customFormat="1" x14ac:dyDescent="0.25">
      <c r="A86" s="24" t="s">
        <v>1193</v>
      </c>
      <c r="AF86" s="267"/>
      <c r="AG86" s="267"/>
      <c r="AH86" s="267"/>
      <c r="AI86" s="267"/>
      <c r="AJ86" s="267"/>
      <c r="AK86" s="267"/>
      <c r="AL86" s="267"/>
      <c r="AM86" s="267"/>
      <c r="AN86" s="267"/>
      <c r="AO86" s="267"/>
      <c r="AP86" s="267"/>
      <c r="AQ86" s="267"/>
      <c r="AR86" s="267"/>
      <c r="BX86" s="394" t="s">
        <v>1133</v>
      </c>
    </row>
    <row r="87" spans="1:76" s="395" customFormat="1" ht="15" customHeight="1" x14ac:dyDescent="0.25">
      <c r="D87" s="395" t="s">
        <v>1194</v>
      </c>
      <c r="G87" s="395" t="s">
        <v>1195</v>
      </c>
      <c r="J87" s="395" t="s">
        <v>1196</v>
      </c>
      <c r="K87" s="395">
        <v>2023</v>
      </c>
      <c r="L87" s="436" t="s">
        <v>1197</v>
      </c>
      <c r="M87" s="395" t="s">
        <v>1198</v>
      </c>
      <c r="O87" s="395" t="s">
        <v>1199</v>
      </c>
      <c r="P87" s="395" t="s">
        <v>1200</v>
      </c>
      <c r="S87" s="396"/>
      <c r="X87" s="396">
        <v>680</v>
      </c>
      <c r="Z87" s="396">
        <v>680</v>
      </c>
      <c r="AF87" s="437">
        <v>-250.8</v>
      </c>
      <c r="AM87" s="395">
        <v>31148</v>
      </c>
      <c r="AN87" s="395">
        <v>15379</v>
      </c>
      <c r="AO87" s="395">
        <f>AM87+AN87</f>
        <v>46527</v>
      </c>
      <c r="AP87" s="395">
        <v>14413</v>
      </c>
      <c r="AQ87" s="395">
        <v>0</v>
      </c>
      <c r="AR87" s="395">
        <f>AP87+AQ87</f>
        <v>14413</v>
      </c>
      <c r="BX87" s="394" t="s">
        <v>1133</v>
      </c>
    </row>
    <row r="88" spans="1:76" s="395" customFormat="1" ht="15" customHeight="1" x14ac:dyDescent="0.25">
      <c r="B88" s="395">
        <v>1.2</v>
      </c>
      <c r="D88" s="395" t="s">
        <v>1201</v>
      </c>
      <c r="G88" s="395" t="s">
        <v>1202</v>
      </c>
      <c r="J88" s="438" t="s">
        <v>1203</v>
      </c>
      <c r="K88" s="395">
        <v>2022</v>
      </c>
      <c r="L88" s="436" t="s">
        <v>1204</v>
      </c>
      <c r="M88" s="395" t="s">
        <v>1205</v>
      </c>
      <c r="O88" s="395" t="s">
        <v>1206</v>
      </c>
      <c r="P88" s="395" t="s">
        <v>1207</v>
      </c>
      <c r="S88" s="396"/>
      <c r="X88" s="396">
        <v>493</v>
      </c>
      <c r="Z88" s="396">
        <v>493</v>
      </c>
      <c r="AF88" s="397">
        <v>-331.42857142857139</v>
      </c>
      <c r="AM88" s="395">
        <v>5828.5714285714284</v>
      </c>
      <c r="AN88" s="395">
        <v>8385.7142857142862</v>
      </c>
      <c r="AO88" s="395">
        <f t="shared" ref="AO88:AO95" si="6">AM88+AN88</f>
        <v>14214.285714285714</v>
      </c>
      <c r="AP88" s="395">
        <v>7328.5714285714284</v>
      </c>
      <c r="AQ88" s="395">
        <v>622.85714285714289</v>
      </c>
      <c r="AR88" s="395">
        <f t="shared" ref="AR88:AR95" si="7">AP88+AQ88</f>
        <v>7951.4285714285716</v>
      </c>
      <c r="BX88" s="394" t="s">
        <v>1133</v>
      </c>
    </row>
    <row r="89" spans="1:76" s="395" customFormat="1" ht="15" customHeight="1" x14ac:dyDescent="0.25">
      <c r="B89" s="395">
        <v>1.2</v>
      </c>
      <c r="D89" s="395" t="s">
        <v>1208</v>
      </c>
      <c r="E89" s="395" t="s">
        <v>1209</v>
      </c>
      <c r="G89" s="395" t="s">
        <v>1202</v>
      </c>
      <c r="J89" s="438" t="s">
        <v>1203</v>
      </c>
      <c r="K89" s="395">
        <v>2022</v>
      </c>
      <c r="L89" s="436" t="s">
        <v>1204</v>
      </c>
      <c r="M89" s="395" t="s">
        <v>1205</v>
      </c>
      <c r="O89" s="395" t="s">
        <v>1206</v>
      </c>
      <c r="P89" s="395" t="s">
        <v>1207</v>
      </c>
      <c r="S89" s="396"/>
      <c r="X89" s="396">
        <v>546</v>
      </c>
      <c r="Z89" s="396">
        <v>546</v>
      </c>
      <c r="AF89" s="397">
        <v>-248.23529411764702</v>
      </c>
      <c r="AM89" s="395">
        <v>5758.8235294117649</v>
      </c>
      <c r="AN89" s="395">
        <v>8941.1764705882342</v>
      </c>
      <c r="AO89" s="395">
        <f t="shared" si="6"/>
        <v>14700</v>
      </c>
      <c r="AP89" s="395">
        <v>7117.6470588235288</v>
      </c>
      <c r="AQ89" s="395">
        <v>758.82352941176464</v>
      </c>
      <c r="AR89" s="395">
        <f t="shared" si="7"/>
        <v>7876.4705882352937</v>
      </c>
      <c r="BX89" s="394" t="s">
        <v>1133</v>
      </c>
    </row>
    <row r="90" spans="1:76" s="395" customFormat="1" ht="15" customHeight="1" x14ac:dyDescent="0.25">
      <c r="B90" s="395">
        <v>1.2</v>
      </c>
      <c r="D90" s="395" t="s">
        <v>1241</v>
      </c>
      <c r="G90" s="395" t="s">
        <v>1202</v>
      </c>
      <c r="J90" s="438" t="s">
        <v>1203</v>
      </c>
      <c r="K90" s="395">
        <v>2022</v>
      </c>
      <c r="L90" s="436" t="s">
        <v>1204</v>
      </c>
      <c r="M90" s="395" t="s">
        <v>1205</v>
      </c>
      <c r="O90" s="395" t="s">
        <v>1206</v>
      </c>
      <c r="P90" s="395" t="s">
        <v>1207</v>
      </c>
      <c r="S90" s="396"/>
      <c r="X90" s="396">
        <v>493</v>
      </c>
      <c r="Z90" s="396">
        <v>493</v>
      </c>
      <c r="AF90" s="397">
        <v>-363.33333333333337</v>
      </c>
      <c r="AM90" s="395">
        <v>5693.3333333333339</v>
      </c>
      <c r="AN90" s="395">
        <v>8800</v>
      </c>
      <c r="AO90" s="395">
        <f t="shared" si="6"/>
        <v>14493.333333333334</v>
      </c>
      <c r="AP90" s="395">
        <v>6733.3333333333339</v>
      </c>
      <c r="AQ90" s="395">
        <v>635.33333333333326</v>
      </c>
      <c r="AR90" s="395">
        <f t="shared" si="7"/>
        <v>7368.666666666667</v>
      </c>
      <c r="BX90" s="394" t="s">
        <v>1133</v>
      </c>
    </row>
    <row r="91" spans="1:76" s="395" customFormat="1" ht="15" customHeight="1" x14ac:dyDescent="0.25">
      <c r="D91" s="395" t="s">
        <v>1210</v>
      </c>
      <c r="G91" s="395" t="s">
        <v>1211</v>
      </c>
      <c r="J91" s="396" t="s">
        <v>1212</v>
      </c>
      <c r="K91" s="395">
        <v>2025</v>
      </c>
      <c r="L91" s="395" t="s">
        <v>1213</v>
      </c>
      <c r="M91" s="395" t="s">
        <v>1214</v>
      </c>
      <c r="O91" s="395" t="s">
        <v>1215</v>
      </c>
      <c r="P91" s="395" t="s">
        <v>1216</v>
      </c>
      <c r="S91" s="396"/>
      <c r="X91" s="396"/>
      <c r="Z91" s="396"/>
      <c r="AF91" s="397">
        <v>612</v>
      </c>
      <c r="AM91" s="395">
        <v>4000</v>
      </c>
      <c r="AN91" s="395">
        <v>1200</v>
      </c>
      <c r="AO91" s="395">
        <f t="shared" si="6"/>
        <v>5200</v>
      </c>
      <c r="AP91" s="395">
        <v>740</v>
      </c>
      <c r="AQ91" s="395">
        <v>9.1999999999999993</v>
      </c>
      <c r="AR91" s="395">
        <f t="shared" si="7"/>
        <v>749.2</v>
      </c>
      <c r="BX91" s="394" t="s">
        <v>1133</v>
      </c>
    </row>
    <row r="92" spans="1:76" s="395" customFormat="1" ht="15" customHeight="1" x14ac:dyDescent="0.25">
      <c r="B92" s="395">
        <v>4.0999999999999996</v>
      </c>
      <c r="D92" s="395" t="s">
        <v>1217</v>
      </c>
      <c r="G92" s="395" t="s">
        <v>1218</v>
      </c>
      <c r="J92" s="396" t="s">
        <v>1219</v>
      </c>
      <c r="K92" s="395">
        <v>2024</v>
      </c>
      <c r="L92" s="395" t="s">
        <v>1220</v>
      </c>
      <c r="M92" s="395" t="s">
        <v>1221</v>
      </c>
      <c r="O92" s="395" t="s">
        <v>1222</v>
      </c>
      <c r="P92" s="395" t="s">
        <v>1223</v>
      </c>
      <c r="S92" s="396"/>
      <c r="X92" s="396">
        <v>410</v>
      </c>
      <c r="Z92" s="396">
        <v>410</v>
      </c>
      <c r="AF92" s="397">
        <v>397</v>
      </c>
      <c r="AM92" s="395">
        <v>17700</v>
      </c>
      <c r="AN92" s="395">
        <v>6080</v>
      </c>
      <c r="AO92" s="395">
        <f t="shared" si="6"/>
        <v>23780</v>
      </c>
      <c r="AP92" s="395">
        <v>2753</v>
      </c>
      <c r="AQ92" s="395">
        <v>289</v>
      </c>
      <c r="AR92" s="395">
        <f t="shared" si="7"/>
        <v>3042</v>
      </c>
      <c r="BX92" s="394" t="s">
        <v>1133</v>
      </c>
    </row>
    <row r="93" spans="1:76" s="395" customFormat="1" ht="15" customHeight="1" x14ac:dyDescent="0.25">
      <c r="B93" s="395">
        <v>1.3</v>
      </c>
      <c r="D93" s="395" t="s">
        <v>1224</v>
      </c>
      <c r="G93" s="395" t="s">
        <v>1225</v>
      </c>
      <c r="J93" s="439">
        <v>43621</v>
      </c>
      <c r="K93" s="395">
        <v>2024</v>
      </c>
      <c r="L93" s="395" t="s">
        <v>1163</v>
      </c>
      <c r="O93" s="395" t="s">
        <v>1226</v>
      </c>
      <c r="P93" s="395" t="s">
        <v>1227</v>
      </c>
      <c r="S93" s="396"/>
      <c r="X93" s="396">
        <v>426.66666666666669</v>
      </c>
      <c r="Z93" s="396">
        <v>426.66666666666669</v>
      </c>
      <c r="AF93" s="397">
        <v>-351.33333333333331</v>
      </c>
      <c r="AM93" s="395">
        <v>5353.333333333333</v>
      </c>
      <c r="AN93" s="395">
        <v>2646.666666666667</v>
      </c>
      <c r="AO93" s="395">
        <f t="shared" si="6"/>
        <v>8000</v>
      </c>
      <c r="AP93" s="395">
        <v>5726.666666666667</v>
      </c>
      <c r="AQ93" s="395">
        <v>0</v>
      </c>
      <c r="AR93" s="395">
        <f t="shared" si="7"/>
        <v>5726.666666666667</v>
      </c>
      <c r="BX93" s="394" t="s">
        <v>1133</v>
      </c>
    </row>
    <row r="94" spans="1:76" s="395" customFormat="1" ht="15" customHeight="1" x14ac:dyDescent="0.25">
      <c r="A94" s="395" t="s">
        <v>1228</v>
      </c>
      <c r="B94" s="396"/>
      <c r="C94" s="396" t="s">
        <v>1229</v>
      </c>
      <c r="D94" s="395" t="s">
        <v>1230</v>
      </c>
      <c r="G94" s="395" t="s">
        <v>1231</v>
      </c>
      <c r="J94" s="439">
        <v>43803</v>
      </c>
      <c r="K94" s="395">
        <v>2022</v>
      </c>
      <c r="L94" s="395" t="s">
        <v>1232</v>
      </c>
      <c r="M94" s="395" t="s">
        <v>1233</v>
      </c>
      <c r="N94" s="395" t="s">
        <v>680</v>
      </c>
      <c r="O94" s="395" t="s">
        <v>1234</v>
      </c>
      <c r="P94" s="395" t="s">
        <v>680</v>
      </c>
      <c r="S94" s="396"/>
      <c r="X94" s="396">
        <v>490.6</v>
      </c>
      <c r="Z94" s="396">
        <v>490.6</v>
      </c>
      <c r="AF94" s="397">
        <v>-733.8</v>
      </c>
      <c r="AM94" s="395">
        <v>3577</v>
      </c>
      <c r="AN94" s="395">
        <v>11190</v>
      </c>
      <c r="AO94" s="395">
        <f t="shared" si="6"/>
        <v>14767</v>
      </c>
      <c r="AP94" s="395">
        <v>3329</v>
      </c>
      <c r="AQ94" s="395">
        <v>0</v>
      </c>
      <c r="AR94" s="395">
        <f t="shared" si="7"/>
        <v>3329</v>
      </c>
      <c r="BX94" s="394" t="s">
        <v>1133</v>
      </c>
    </row>
    <row r="95" spans="1:76" s="395" customFormat="1" ht="15" customHeight="1" x14ac:dyDescent="0.25">
      <c r="D95" s="395" t="s">
        <v>1235</v>
      </c>
      <c r="G95" s="395" t="s">
        <v>1236</v>
      </c>
      <c r="J95" s="396" t="s">
        <v>1237</v>
      </c>
      <c r="K95" s="395">
        <v>2025</v>
      </c>
      <c r="L95" s="395" t="s">
        <v>1238</v>
      </c>
      <c r="M95" s="395" t="s">
        <v>1239</v>
      </c>
      <c r="O95" s="395" t="s">
        <v>1240</v>
      </c>
      <c r="P95" s="395" t="s">
        <v>1144</v>
      </c>
      <c r="S95" s="396"/>
      <c r="X95" s="396">
        <v>484</v>
      </c>
      <c r="Z95" s="396">
        <v>484</v>
      </c>
      <c r="AF95" s="397">
        <v>219.32</v>
      </c>
      <c r="AM95" s="395">
        <v>3658.99</v>
      </c>
      <c r="AN95" s="395">
        <v>13168</v>
      </c>
      <c r="AO95" s="395">
        <f t="shared" si="6"/>
        <v>16826.989999999998</v>
      </c>
      <c r="AP95" s="395">
        <v>3803.45</v>
      </c>
      <c r="AQ95" s="395">
        <v>521.89</v>
      </c>
      <c r="AR95" s="395">
        <f t="shared" si="7"/>
        <v>4325.34</v>
      </c>
      <c r="BX95" s="394" t="s">
        <v>1133</v>
      </c>
    </row>
    <row r="96" spans="1:76" s="20" customFormat="1" x14ac:dyDescent="0.25">
      <c r="AF96" s="267"/>
      <c r="AG96" s="267"/>
      <c r="AH96" s="267"/>
      <c r="AI96" s="267"/>
      <c r="AJ96" s="267"/>
      <c r="AK96" s="267"/>
      <c r="AL96" s="267"/>
      <c r="AM96" s="267"/>
      <c r="AN96" s="267"/>
      <c r="AO96" s="267"/>
      <c r="AP96" s="267"/>
      <c r="AQ96" s="267"/>
      <c r="AR96" s="267"/>
    </row>
    <row r="97" spans="1:44" s="20" customFormat="1" x14ac:dyDescent="0.25">
      <c r="AF97" s="267"/>
      <c r="AG97" s="267"/>
      <c r="AH97" s="267"/>
      <c r="AI97" s="267"/>
      <c r="AJ97" s="267"/>
      <c r="AK97" s="267"/>
      <c r="AL97" s="267"/>
      <c r="AM97" s="267"/>
      <c r="AN97" s="267"/>
      <c r="AO97" s="267"/>
      <c r="AP97" s="267"/>
      <c r="AQ97" s="267"/>
      <c r="AR97" s="267"/>
    </row>
    <row r="98" spans="1:44" s="20" customFormat="1" x14ac:dyDescent="0.25">
      <c r="AF98" s="267"/>
      <c r="AG98" s="267"/>
      <c r="AH98" s="267"/>
      <c r="AI98" s="267"/>
      <c r="AJ98" s="267"/>
      <c r="AK98" s="267"/>
      <c r="AL98" s="267"/>
      <c r="AM98" s="267"/>
      <c r="AN98" s="267"/>
      <c r="AO98" s="267"/>
      <c r="AP98" s="267"/>
      <c r="AQ98" s="267"/>
      <c r="AR98" s="267"/>
    </row>
    <row r="99" spans="1:44" s="20" customFormat="1" x14ac:dyDescent="0.25">
      <c r="AF99" s="267"/>
      <c r="AG99" s="267"/>
      <c r="AH99" s="267"/>
      <c r="AI99" s="267"/>
      <c r="AJ99" s="267"/>
      <c r="AK99" s="267"/>
      <c r="AL99" s="267"/>
      <c r="AM99" s="267"/>
      <c r="AN99" s="267"/>
      <c r="AO99" s="267"/>
      <c r="AP99" s="267"/>
      <c r="AQ99" s="267"/>
      <c r="AR99" s="267"/>
    </row>
    <row r="100" spans="1:44" s="20" customFormat="1" x14ac:dyDescent="0.25">
      <c r="AF100" s="267"/>
      <c r="AG100" s="267"/>
      <c r="AH100" s="267"/>
      <c r="AI100" s="267"/>
      <c r="AJ100" s="267"/>
      <c r="AK100" s="267"/>
      <c r="AL100" s="267"/>
      <c r="AM100" s="267"/>
      <c r="AN100" s="267"/>
      <c r="AO100" s="267"/>
      <c r="AP100" s="267"/>
      <c r="AQ100" s="267"/>
      <c r="AR100" s="267"/>
    </row>
    <row r="101" spans="1:44" s="20" customFormat="1" x14ac:dyDescent="0.25">
      <c r="L101" s="446"/>
      <c r="AF101" s="267"/>
      <c r="AG101" s="267"/>
      <c r="AH101" s="267"/>
      <c r="AI101" s="267"/>
      <c r="AJ101" s="267"/>
      <c r="AK101" s="267"/>
      <c r="AL101" s="267"/>
      <c r="AM101" s="267"/>
      <c r="AN101" s="267"/>
      <c r="AO101" s="267"/>
      <c r="AP101" s="267"/>
      <c r="AQ101" s="267"/>
      <c r="AR101" s="267"/>
    </row>
    <row r="102" spans="1:44" s="20" customFormat="1" x14ac:dyDescent="0.25">
      <c r="V102" s="447"/>
      <c r="AF102" s="267"/>
      <c r="AG102" s="267"/>
      <c r="AH102" s="267"/>
      <c r="AI102" s="267"/>
      <c r="AJ102" s="267"/>
      <c r="AK102" s="267"/>
      <c r="AL102" s="267"/>
      <c r="AM102" s="267"/>
      <c r="AN102" s="267"/>
      <c r="AO102" s="267"/>
      <c r="AP102" s="267"/>
      <c r="AQ102" s="267"/>
      <c r="AR102" s="267"/>
    </row>
    <row r="103" spans="1:44" s="20" customFormat="1" x14ac:dyDescent="0.25">
      <c r="AF103" s="267"/>
      <c r="AG103" s="267"/>
      <c r="AH103" s="267"/>
      <c r="AI103" s="267"/>
      <c r="AJ103" s="267"/>
      <c r="AK103" s="267"/>
      <c r="AL103" s="267"/>
      <c r="AM103" s="267"/>
      <c r="AN103" s="267"/>
      <c r="AO103" s="267"/>
      <c r="AP103" s="267"/>
      <c r="AQ103" s="267"/>
      <c r="AR103" s="267"/>
    </row>
    <row r="104" spans="1:44" s="20" customFormat="1" x14ac:dyDescent="0.25">
      <c r="AF104" s="267"/>
      <c r="AG104" s="267"/>
      <c r="AH104" s="267"/>
      <c r="AI104" s="267"/>
      <c r="AJ104" s="267"/>
      <c r="AK104" s="267"/>
      <c r="AL104" s="267"/>
      <c r="AM104" s="267"/>
      <c r="AN104" s="267"/>
      <c r="AO104" s="267"/>
      <c r="AP104" s="267"/>
      <c r="AQ104" s="267"/>
      <c r="AR104" s="267"/>
    </row>
    <row r="105" spans="1:44" s="20" customFormat="1" x14ac:dyDescent="0.25">
      <c r="AF105" s="267"/>
      <c r="AG105" s="267"/>
      <c r="AH105" s="267"/>
      <c r="AI105" s="267"/>
      <c r="AJ105" s="267"/>
      <c r="AK105" s="267"/>
      <c r="AL105" s="267"/>
      <c r="AM105" s="267"/>
      <c r="AN105" s="267"/>
      <c r="AO105" s="267"/>
      <c r="AP105" s="267"/>
      <c r="AQ105" s="267"/>
      <c r="AR105" s="267"/>
    </row>
    <row r="106" spans="1:44" s="20" customFormat="1" x14ac:dyDescent="0.25">
      <c r="A106" s="447"/>
      <c r="L106" s="446"/>
      <c r="Q106" s="447"/>
      <c r="AF106" s="267"/>
      <c r="AG106" s="267"/>
      <c r="AH106" s="267"/>
      <c r="AI106" s="267"/>
      <c r="AJ106" s="267"/>
      <c r="AK106" s="267"/>
      <c r="AL106" s="267"/>
      <c r="AM106" s="267"/>
      <c r="AN106" s="267"/>
      <c r="AO106" s="267"/>
      <c r="AP106" s="267"/>
      <c r="AQ106" s="267"/>
      <c r="AR106" s="267"/>
    </row>
    <row r="107" spans="1:44" s="20" customFormat="1" x14ac:dyDescent="0.25">
      <c r="L107" s="446"/>
      <c r="AF107" s="267"/>
      <c r="AG107" s="267"/>
      <c r="AH107" s="267"/>
      <c r="AI107" s="267"/>
      <c r="AJ107" s="267"/>
      <c r="AK107" s="267"/>
      <c r="AL107" s="267"/>
      <c r="AM107" s="267"/>
      <c r="AN107" s="267"/>
      <c r="AO107" s="267"/>
      <c r="AP107" s="267"/>
      <c r="AQ107" s="267"/>
      <c r="AR107" s="267"/>
    </row>
    <row r="108" spans="1:44" s="20" customFormat="1" x14ac:dyDescent="0.25">
      <c r="L108" s="446"/>
      <c r="N108" s="448"/>
      <c r="AF108" s="267"/>
      <c r="AG108" s="267"/>
      <c r="AH108" s="267"/>
      <c r="AI108" s="267"/>
      <c r="AJ108" s="267"/>
      <c r="AK108" s="267"/>
      <c r="AL108" s="267"/>
      <c r="AM108" s="267"/>
      <c r="AN108" s="267"/>
      <c r="AO108" s="267"/>
      <c r="AP108" s="267"/>
      <c r="AQ108" s="267"/>
      <c r="AR108" s="267"/>
    </row>
    <row r="109" spans="1:44" s="20" customFormat="1" x14ac:dyDescent="0.25">
      <c r="V109" s="447"/>
      <c r="AF109" s="267"/>
      <c r="AG109" s="267"/>
      <c r="AH109" s="267"/>
      <c r="AI109" s="267"/>
      <c r="AJ109" s="267"/>
      <c r="AK109" s="267"/>
      <c r="AL109" s="267"/>
      <c r="AM109" s="267"/>
      <c r="AN109" s="267"/>
      <c r="AO109" s="267"/>
      <c r="AP109" s="267"/>
      <c r="AQ109" s="267"/>
      <c r="AR109" s="267"/>
    </row>
    <row r="110" spans="1:44" x14ac:dyDescent="0.25">
      <c r="L110" s="199"/>
      <c r="N110" s="132"/>
    </row>
    <row r="113" spans="33:51" x14ac:dyDescent="0.25">
      <c r="AG113" s="443"/>
      <c r="AH113" s="443"/>
      <c r="AI113" s="443"/>
      <c r="AJ113" s="443"/>
      <c r="AK113" s="443"/>
      <c r="AW113" s="268"/>
      <c r="AY113" s="268"/>
    </row>
  </sheetData>
  <sortState ref="A74:BX80">
    <sortCondition ref="X74:X80"/>
  </sortState>
  <hyperlinks>
    <hyperlink ref="L49" r:id="rId1"/>
    <hyperlink ref="L55" r:id="rId2"/>
    <hyperlink ref="L65" r:id="rId3"/>
    <hyperlink ref="L67" r:id="rId4"/>
    <hyperlink ref="L66" r:id="rId5"/>
    <hyperlink ref="L6" r:id="rId6"/>
    <hyperlink ref="L88" r:id="rId7"/>
    <hyperlink ref="L89" r:id="rId8"/>
    <hyperlink ref="L90" r:id="rId9"/>
    <hyperlink ref="L87" r:id="rId10"/>
  </hyperlinks>
  <pageMargins left="0.7" right="0.7" top="0.78740157499999996" bottom="0.78740157499999996" header="0.3" footer="0.3"/>
  <pageSetup paperSize="9" orientation="portrait" horizontalDpi="300" verticalDpi="0" r:id="rId11"/>
  <legacyDrawing r:id="rId1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U+Qt</vt:lpstr>
      <vt:lpstr>About</vt:lpstr>
      <vt:lpstr>Balance</vt:lpstr>
      <vt:lpstr>Opaque assemblies</vt:lpstr>
      <vt:lpstr>Transparent components</vt:lpstr>
      <vt:lpstr>Material editor</vt:lpstr>
      <vt:lpstr>Data</vt:lpstr>
      <vt:lpstr>Ökobaudat</vt:lpstr>
    </vt:vector>
  </TitlesOfParts>
  <Company>Passivhaus Institut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bkrick</dc:creator>
  <cp:lastModifiedBy>Morgane Picot</cp:lastModifiedBy>
  <dcterms:created xsi:type="dcterms:W3CDTF">2017-10-25T10:41:44Z</dcterms:created>
  <dcterms:modified xsi:type="dcterms:W3CDTF">2022-07-06T10:33:56Z</dcterms:modified>
</cp:coreProperties>
</file>